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480" yWindow="90" windowWidth="8460" windowHeight="8835"/>
  </bookViews>
  <sheets>
    <sheet name=" Static Forecast" sheetId="1" r:id="rId1"/>
    <sheet name=" Winter" sheetId="5" r:id="rId2"/>
    <sheet name=" Static Forecast (Formulas)" sheetId="6" r:id="rId3"/>
    <sheet name=" Winter (Formulas)" sheetId="7" r:id="rId4"/>
  </sheets>
  <definedNames>
    <definedName name="alpha">' Winter'!$K$20</definedName>
    <definedName name="alpha2">' Winter'!$K$66</definedName>
    <definedName name="beta">' Winter'!$K$21</definedName>
    <definedName name="beta2">' Winter'!$K$67</definedName>
    <definedName name="gamma">' Winter'!$K$22</definedName>
    <definedName name="gamma2">' Winter'!$K$68</definedName>
    <definedName name="solver_adj" localSheetId="1" hidden="1">' Winter'!$K$66:$K$68</definedName>
    <definedName name="solver_adj" localSheetId="3" hidden="1">' Winter (Formulas)'!$K$66:$K$68</definedName>
    <definedName name="solver_cvg" localSheetId="1" hidden="1">0.001</definedName>
    <definedName name="solver_cvg" localSheetId="3" hidden="1">0.001</definedName>
    <definedName name="solver_drv" localSheetId="1" hidden="1">1</definedName>
    <definedName name="solver_drv" localSheetId="3" hidden="1">1</definedName>
    <definedName name="solver_est" localSheetId="1" hidden="1">1</definedName>
    <definedName name="solver_est" localSheetId="3" hidden="1">1</definedName>
    <definedName name="solver_itr" localSheetId="1" hidden="1">100</definedName>
    <definedName name="solver_itr" localSheetId="3" hidden="1">100</definedName>
    <definedName name="solver_lhs1" localSheetId="1" hidden="1">' Winter'!$K$66:$K$68</definedName>
    <definedName name="solver_lin" localSheetId="1" hidden="1">2</definedName>
    <definedName name="solver_lin" localSheetId="3" hidden="1">2</definedName>
    <definedName name="solver_neg" localSheetId="1" hidden="1">2</definedName>
    <definedName name="solver_neg" localSheetId="3" hidden="1">2</definedName>
    <definedName name="solver_num" localSheetId="1" hidden="1">1</definedName>
    <definedName name="solver_num" localSheetId="3" hidden="1">0</definedName>
    <definedName name="solver_nwt" localSheetId="1" hidden="1">1</definedName>
    <definedName name="solver_nwt" localSheetId="3" hidden="1">1</definedName>
    <definedName name="solver_opt" localSheetId="1" hidden="1">' Winter'!$M$91</definedName>
    <definedName name="solver_opt" localSheetId="3" hidden="1">' Winter (Formulas)'!$M$91</definedName>
    <definedName name="solver_pre" localSheetId="1" hidden="1">0.000001</definedName>
    <definedName name="solver_pre" localSheetId="3" hidden="1">0.000001</definedName>
    <definedName name="solver_rel1" localSheetId="1" hidden="1">3</definedName>
    <definedName name="solver_rhs1" localSheetId="1" hidden="1">0</definedName>
    <definedName name="solver_scl" localSheetId="1" hidden="1">2</definedName>
    <definedName name="solver_scl" localSheetId="3" hidden="1">2</definedName>
    <definedName name="solver_sho" localSheetId="1" hidden="1">2</definedName>
    <definedName name="solver_sho" localSheetId="3" hidden="1">2</definedName>
    <definedName name="solver_tim" localSheetId="1" hidden="1">100</definedName>
    <definedName name="solver_tim" localSheetId="3" hidden="1">100</definedName>
    <definedName name="solver_tol" localSheetId="1" hidden="1">0.05</definedName>
    <definedName name="solver_tol" localSheetId="3" hidden="1">0.05</definedName>
    <definedName name="solver_typ" localSheetId="1" hidden="1">2</definedName>
    <definedName name="solver_typ" localSheetId="3" hidden="1">2</definedName>
    <definedName name="solver_val" localSheetId="1" hidden="1">0</definedName>
    <definedName name="solver_val" localSheetId="3" hidden="1">0</definedName>
  </definedNames>
  <calcPr calcId="145621"/>
  <pivotCaches>
    <pivotCache cacheId="0" r:id="rId5"/>
    <pivotCache cacheId="1" r:id="rId6"/>
  </pivotCaches>
</workbook>
</file>

<file path=xl/calcChain.xml><?xml version="1.0" encoding="utf-8"?>
<calcChain xmlns="http://schemas.openxmlformats.org/spreadsheetml/2006/main">
  <c r="D46" i="1" l="1"/>
  <c r="E30" i="1"/>
  <c r="F30" i="1" s="1"/>
  <c r="E34" i="1"/>
  <c r="F34" i="1" s="1"/>
  <c r="E38" i="1"/>
  <c r="F38" i="1"/>
  <c r="E42" i="1"/>
  <c r="F42" i="1"/>
  <c r="E46" i="1"/>
  <c r="F46" i="1" s="1"/>
  <c r="E31" i="1"/>
  <c r="F31" i="1"/>
  <c r="E35" i="1"/>
  <c r="F35" i="1"/>
  <c r="E39" i="1"/>
  <c r="F39" i="1" s="1"/>
  <c r="S55" i="1" s="1"/>
  <c r="E43" i="1"/>
  <c r="F43" i="1"/>
  <c r="E47" i="1"/>
  <c r="F47" i="1"/>
  <c r="E32" i="1"/>
  <c r="F32" i="1" s="1"/>
  <c r="E36" i="1"/>
  <c r="F36" i="1" s="1"/>
  <c r="E40" i="1"/>
  <c r="F40" i="1" s="1"/>
  <c r="E44" i="1"/>
  <c r="F44" i="1"/>
  <c r="E48" i="1"/>
  <c r="F48" i="1" s="1"/>
  <c r="E29" i="1"/>
  <c r="F29" i="1" s="1"/>
  <c r="E33" i="1"/>
  <c r="F33" i="1"/>
  <c r="E37" i="1"/>
  <c r="F37" i="1" s="1"/>
  <c r="E41" i="1"/>
  <c r="F41" i="1" s="1"/>
  <c r="E45" i="1"/>
  <c r="F45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31" i="1"/>
  <c r="G65" i="1"/>
  <c r="I65" i="1" s="1"/>
  <c r="G66" i="1"/>
  <c r="I66" i="1"/>
  <c r="J66" i="1" s="1"/>
  <c r="N66" i="1" s="1"/>
  <c r="G67" i="1"/>
  <c r="I67" i="1" s="1"/>
  <c r="G68" i="1"/>
  <c r="I68" i="1"/>
  <c r="J68" i="1" s="1"/>
  <c r="N68" i="1" s="1"/>
  <c r="G69" i="1"/>
  <c r="I69" i="1"/>
  <c r="J69" i="1" s="1"/>
  <c r="N69" i="1" s="1"/>
  <c r="G70" i="1"/>
  <c r="I70" i="1" s="1"/>
  <c r="J70" i="1" s="1"/>
  <c r="N70" i="1" s="1"/>
  <c r="G71" i="1"/>
  <c r="I71" i="1"/>
  <c r="J71" i="1" s="1"/>
  <c r="N71" i="1" s="1"/>
  <c r="G72" i="1"/>
  <c r="I72" i="1"/>
  <c r="J72" i="1" s="1"/>
  <c r="N72" i="1" s="1"/>
  <c r="G73" i="1"/>
  <c r="I73" i="1" s="1"/>
  <c r="G74" i="1"/>
  <c r="I74" i="1"/>
  <c r="J74" i="1" s="1"/>
  <c r="N74" i="1" s="1"/>
  <c r="G75" i="1"/>
  <c r="I75" i="1"/>
  <c r="J75" i="1" s="1"/>
  <c r="N75" i="1" s="1"/>
  <c r="G76" i="1"/>
  <c r="I76" i="1" s="1"/>
  <c r="J76" i="1" s="1"/>
  <c r="N76" i="1" s="1"/>
  <c r="G77" i="1"/>
  <c r="I77" i="1"/>
  <c r="J77" i="1" s="1"/>
  <c r="N77" i="1" s="1"/>
  <c r="G78" i="1"/>
  <c r="I78" i="1"/>
  <c r="J78" i="1" s="1"/>
  <c r="N78" i="1" s="1"/>
  <c r="G79" i="1"/>
  <c r="I79" i="1" s="1"/>
  <c r="J79" i="1" s="1"/>
  <c r="N79" i="1" s="1"/>
  <c r="G80" i="1"/>
  <c r="I80" i="1"/>
  <c r="J80" i="1" s="1"/>
  <c r="N80" i="1" s="1"/>
  <c r="G81" i="1"/>
  <c r="I81" i="1"/>
  <c r="J81" i="1" s="1"/>
  <c r="N81" i="1" s="1"/>
  <c r="G82" i="1"/>
  <c r="I82" i="1" s="1"/>
  <c r="J82" i="1" s="1"/>
  <c r="N82" i="1" s="1"/>
  <c r="G83" i="1"/>
  <c r="I83" i="1"/>
  <c r="J83" i="1" s="1"/>
  <c r="N83" i="1" s="1"/>
  <c r="G84" i="1"/>
  <c r="I84" i="1"/>
  <c r="J84" i="1" s="1"/>
  <c r="N84" i="1" s="1"/>
  <c r="G89" i="1"/>
  <c r="G90" i="1"/>
  <c r="G91" i="1"/>
  <c r="G92" i="1"/>
  <c r="G93" i="1"/>
  <c r="G94" i="1"/>
  <c r="G95" i="1"/>
  <c r="G96" i="1"/>
  <c r="G88" i="1"/>
  <c r="G87" i="1"/>
  <c r="G86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67" i="1"/>
  <c r="E66" i="1"/>
  <c r="F66" i="1" s="1"/>
  <c r="E67" i="1"/>
  <c r="E68" i="1"/>
  <c r="F68" i="1" s="1"/>
  <c r="E69" i="1"/>
  <c r="E70" i="1"/>
  <c r="E71" i="1"/>
  <c r="F71" i="1" s="1"/>
  <c r="E72" i="1"/>
  <c r="F72" i="1" s="1"/>
  <c r="E73" i="1"/>
  <c r="E74" i="1"/>
  <c r="F74" i="1" s="1"/>
  <c r="E75" i="1"/>
  <c r="E76" i="1"/>
  <c r="E77" i="1"/>
  <c r="F77" i="1" s="1"/>
  <c r="E78" i="1"/>
  <c r="F78" i="1" s="1"/>
  <c r="E79" i="1"/>
  <c r="E80" i="1"/>
  <c r="F80" i="1" s="1"/>
  <c r="E81" i="1"/>
  <c r="E82" i="1"/>
  <c r="E83" i="1"/>
  <c r="F83" i="1" s="1"/>
  <c r="G85" i="1"/>
  <c r="E84" i="1"/>
  <c r="E65" i="1"/>
  <c r="F65" i="1" s="1"/>
  <c r="F84" i="1"/>
  <c r="F82" i="1"/>
  <c r="F81" i="1"/>
  <c r="F79" i="1"/>
  <c r="F76" i="1"/>
  <c r="F75" i="1"/>
  <c r="F73" i="1"/>
  <c r="F70" i="1"/>
  <c r="F69" i="1"/>
  <c r="F67" i="1"/>
  <c r="G65" i="6"/>
  <c r="I65" i="6"/>
  <c r="G66" i="6"/>
  <c r="I66" i="6"/>
  <c r="G67" i="6"/>
  <c r="I67" i="6"/>
  <c r="J67" i="6" s="1"/>
  <c r="N67" i="6" s="1"/>
  <c r="G68" i="6"/>
  <c r="I68" i="6" s="1"/>
  <c r="G69" i="6"/>
  <c r="I69" i="6"/>
  <c r="J69" i="6" s="1"/>
  <c r="N69" i="6" s="1"/>
  <c r="G70" i="6"/>
  <c r="I70" i="6"/>
  <c r="J70" i="6" s="1"/>
  <c r="N70" i="6" s="1"/>
  <c r="G71" i="6"/>
  <c r="I71" i="6" s="1"/>
  <c r="J71" i="6" s="1"/>
  <c r="N71" i="6" s="1"/>
  <c r="G72" i="6"/>
  <c r="I72" i="6"/>
  <c r="J72" i="6" s="1"/>
  <c r="N72" i="6" s="1"/>
  <c r="G73" i="6"/>
  <c r="I73" i="6"/>
  <c r="J73" i="6" s="1"/>
  <c r="N73" i="6" s="1"/>
  <c r="G74" i="6"/>
  <c r="I74" i="6" s="1"/>
  <c r="J74" i="6" s="1"/>
  <c r="N74" i="6" s="1"/>
  <c r="G75" i="6"/>
  <c r="I75" i="6"/>
  <c r="J75" i="6" s="1"/>
  <c r="N75" i="6" s="1"/>
  <c r="G76" i="6"/>
  <c r="I76" i="6"/>
  <c r="J76" i="6" s="1"/>
  <c r="N76" i="6" s="1"/>
  <c r="G77" i="6"/>
  <c r="I77" i="6" s="1"/>
  <c r="J77" i="6" s="1"/>
  <c r="N77" i="6" s="1"/>
  <c r="G78" i="6"/>
  <c r="I78" i="6"/>
  <c r="J78" i="6" s="1"/>
  <c r="N78" i="6" s="1"/>
  <c r="G79" i="6"/>
  <c r="I79" i="6" s="1"/>
  <c r="J79" i="6" s="1"/>
  <c r="N79" i="6" s="1"/>
  <c r="G80" i="6"/>
  <c r="I80" i="6"/>
  <c r="J80" i="6" s="1"/>
  <c r="N80" i="6" s="1"/>
  <c r="G81" i="6"/>
  <c r="I81" i="6" s="1"/>
  <c r="J81" i="6" s="1"/>
  <c r="N81" i="6" s="1"/>
  <c r="G82" i="6"/>
  <c r="I82" i="6"/>
  <c r="J82" i="6" s="1"/>
  <c r="N82" i="6" s="1"/>
  <c r="G83" i="6"/>
  <c r="I83" i="6" s="1"/>
  <c r="J83" i="6" s="1"/>
  <c r="N83" i="6" s="1"/>
  <c r="G84" i="6"/>
  <c r="I84" i="6"/>
  <c r="J84" i="6" s="1"/>
  <c r="N84" i="6" s="1"/>
  <c r="G29" i="6"/>
  <c r="I29" i="6" s="1"/>
  <c r="G30" i="6"/>
  <c r="I30" i="6"/>
  <c r="J30" i="6" s="1"/>
  <c r="N30" i="6" s="1"/>
  <c r="G31" i="6"/>
  <c r="I31" i="6" s="1"/>
  <c r="G32" i="6"/>
  <c r="I32" i="6"/>
  <c r="J32" i="6" s="1"/>
  <c r="N32" i="6" s="1"/>
  <c r="G33" i="6"/>
  <c r="I33" i="6" s="1"/>
  <c r="J33" i="6" s="1"/>
  <c r="N33" i="6" s="1"/>
  <c r="G34" i="6"/>
  <c r="I34" i="6"/>
  <c r="J34" i="6" s="1"/>
  <c r="N34" i="6" s="1"/>
  <c r="G35" i="6"/>
  <c r="I35" i="6" s="1"/>
  <c r="J35" i="6" s="1"/>
  <c r="N35" i="6" s="1"/>
  <c r="G36" i="6"/>
  <c r="I36" i="6"/>
  <c r="J36" i="6" s="1"/>
  <c r="N36" i="6" s="1"/>
  <c r="G37" i="6"/>
  <c r="I37" i="6" s="1"/>
  <c r="J37" i="6" s="1"/>
  <c r="N37" i="6" s="1"/>
  <c r="G38" i="6"/>
  <c r="I38" i="6"/>
  <c r="J38" i="6" s="1"/>
  <c r="N38" i="6" s="1"/>
  <c r="G39" i="6"/>
  <c r="I39" i="6" s="1"/>
  <c r="J39" i="6" s="1"/>
  <c r="N39" i="6" s="1"/>
  <c r="G40" i="6"/>
  <c r="I40" i="6"/>
  <c r="J40" i="6" s="1"/>
  <c r="N40" i="6" s="1"/>
  <c r="G41" i="6"/>
  <c r="I41" i="6" s="1"/>
  <c r="J41" i="6" s="1"/>
  <c r="N41" i="6" s="1"/>
  <c r="G42" i="6"/>
  <c r="I42" i="6"/>
  <c r="J42" i="6" s="1"/>
  <c r="N42" i="6" s="1"/>
  <c r="G43" i="6"/>
  <c r="I43" i="6" s="1"/>
  <c r="J43" i="6" s="1"/>
  <c r="N43" i="6" s="1"/>
  <c r="G44" i="6"/>
  <c r="I44" i="6"/>
  <c r="J44" i="6" s="1"/>
  <c r="N44" i="6" s="1"/>
  <c r="G45" i="6"/>
  <c r="I45" i="6" s="1"/>
  <c r="J45" i="6" s="1"/>
  <c r="N45" i="6" s="1"/>
  <c r="G46" i="6"/>
  <c r="I46" i="6"/>
  <c r="J46" i="6" s="1"/>
  <c r="N46" i="6" s="1"/>
  <c r="G47" i="6"/>
  <c r="I47" i="6" s="1"/>
  <c r="J47" i="6" s="1"/>
  <c r="G48" i="6"/>
  <c r="I48" i="6"/>
  <c r="J48" i="6" s="1"/>
  <c r="N48" i="6" s="1"/>
  <c r="L65" i="6"/>
  <c r="K65" i="6"/>
  <c r="G89" i="6"/>
  <c r="G90" i="6"/>
  <c r="G91" i="6"/>
  <c r="G92" i="6"/>
  <c r="G93" i="6"/>
  <c r="G94" i="6"/>
  <c r="G95" i="6"/>
  <c r="G96" i="6"/>
  <c r="G88" i="6"/>
  <c r="G87" i="6"/>
  <c r="G86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67" i="6"/>
  <c r="G54" i="6"/>
  <c r="G55" i="6"/>
  <c r="G56" i="6"/>
  <c r="G57" i="6"/>
  <c r="G58" i="6"/>
  <c r="G59" i="6"/>
  <c r="G60" i="6"/>
  <c r="E66" i="6"/>
  <c r="E67" i="6"/>
  <c r="F67" i="6" s="1"/>
  <c r="E68" i="6"/>
  <c r="E69" i="6"/>
  <c r="F69" i="6" s="1"/>
  <c r="E70" i="6"/>
  <c r="F70" i="6" s="1"/>
  <c r="E71" i="6"/>
  <c r="F71" i="6" s="1"/>
  <c r="E72" i="6"/>
  <c r="E73" i="6"/>
  <c r="F73" i="6" s="1"/>
  <c r="E74" i="6"/>
  <c r="F74" i="6" s="1"/>
  <c r="E75" i="6"/>
  <c r="F75" i="6" s="1"/>
  <c r="E76" i="6"/>
  <c r="E77" i="6"/>
  <c r="F77" i="6" s="1"/>
  <c r="E78" i="6"/>
  <c r="E79" i="6"/>
  <c r="F79" i="6" s="1"/>
  <c r="E80" i="6"/>
  <c r="E81" i="6"/>
  <c r="F81" i="6" s="1"/>
  <c r="E82" i="6"/>
  <c r="F82" i="6" s="1"/>
  <c r="E83" i="6"/>
  <c r="F83" i="6" s="1"/>
  <c r="G85" i="6"/>
  <c r="E84" i="6"/>
  <c r="F84" i="6" s="1"/>
  <c r="E65" i="6"/>
  <c r="N47" i="6"/>
  <c r="F80" i="6"/>
  <c r="F78" i="6"/>
  <c r="F76" i="6"/>
  <c r="F72" i="6"/>
  <c r="F68" i="6"/>
  <c r="F66" i="6"/>
  <c r="F65" i="6"/>
  <c r="G49" i="6"/>
  <c r="G50" i="6"/>
  <c r="G51" i="6"/>
  <c r="G52" i="6"/>
  <c r="G53" i="6"/>
  <c r="E30" i="6"/>
  <c r="F30" i="6" s="1"/>
  <c r="E31" i="6"/>
  <c r="E32" i="6"/>
  <c r="E33" i="6"/>
  <c r="E34" i="6"/>
  <c r="E35" i="6"/>
  <c r="E36" i="6"/>
  <c r="F36" i="6" s="1"/>
  <c r="E37" i="6"/>
  <c r="E38" i="6"/>
  <c r="E39" i="6"/>
  <c r="E40" i="6"/>
  <c r="E41" i="6"/>
  <c r="E42" i="6"/>
  <c r="F42" i="6" s="1"/>
  <c r="E43" i="6"/>
  <c r="E44" i="6"/>
  <c r="E45" i="6"/>
  <c r="E46" i="6"/>
  <c r="E47" i="6"/>
  <c r="E48" i="6"/>
  <c r="F48" i="6" s="1"/>
  <c r="E29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31" i="6"/>
  <c r="F31" i="6"/>
  <c r="F32" i="6"/>
  <c r="F33" i="6"/>
  <c r="F34" i="6"/>
  <c r="F35" i="6"/>
  <c r="F37" i="6"/>
  <c r="F38" i="6"/>
  <c r="F39" i="6"/>
  <c r="F40" i="6"/>
  <c r="F41" i="6"/>
  <c r="F43" i="6"/>
  <c r="F44" i="6"/>
  <c r="F45" i="6"/>
  <c r="F46" i="6"/>
  <c r="F47" i="6"/>
  <c r="F29" i="6"/>
  <c r="F72" i="5"/>
  <c r="D71" i="5"/>
  <c r="E71" i="5"/>
  <c r="F73" i="5"/>
  <c r="F74" i="5"/>
  <c r="F75" i="5"/>
  <c r="D29" i="5"/>
  <c r="E29" i="5"/>
  <c r="F72" i="7"/>
  <c r="D71" i="7"/>
  <c r="D72" i="7" s="1"/>
  <c r="E71" i="7"/>
  <c r="F73" i="7"/>
  <c r="F74" i="7"/>
  <c r="F75" i="7"/>
  <c r="G72" i="7"/>
  <c r="I72" i="7" s="1"/>
  <c r="D29" i="7"/>
  <c r="G30" i="7" s="1"/>
  <c r="I30" i="7" s="1"/>
  <c r="E29" i="7"/>
  <c r="L66" i="6"/>
  <c r="K67" i="6"/>
  <c r="J65" i="6"/>
  <c r="K66" i="6"/>
  <c r="L67" i="6"/>
  <c r="K67" i="1"/>
  <c r="K72" i="1"/>
  <c r="L65" i="1"/>
  <c r="J65" i="1"/>
  <c r="L70" i="1"/>
  <c r="K65" i="1"/>
  <c r="S53" i="1"/>
  <c r="G33" i="1"/>
  <c r="I33" i="1" s="1"/>
  <c r="J33" i="1"/>
  <c r="N33" i="1" s="1"/>
  <c r="G45" i="1"/>
  <c r="I45" i="1" s="1"/>
  <c r="J45" i="1" s="1"/>
  <c r="N45" i="1" s="1"/>
  <c r="G54" i="1"/>
  <c r="G56" i="1"/>
  <c r="G49" i="1"/>
  <c r="M66" i="1"/>
  <c r="P66" i="1" s="1"/>
  <c r="G31" i="1"/>
  <c r="I31" i="1" s="1"/>
  <c r="J31" i="1" s="1"/>
  <c r="N31" i="1" s="1"/>
  <c r="G35" i="1"/>
  <c r="I35" i="1"/>
  <c r="J35" i="1" s="1"/>
  <c r="N35" i="1" s="1"/>
  <c r="G39" i="1"/>
  <c r="I39" i="1"/>
  <c r="J39" i="1" s="1"/>
  <c r="N39" i="1" s="1"/>
  <c r="G43" i="1"/>
  <c r="I43" i="1" s="1"/>
  <c r="J43" i="1"/>
  <c r="N43" i="1" s="1"/>
  <c r="G47" i="1"/>
  <c r="I47" i="1" s="1"/>
  <c r="J47" i="1"/>
  <c r="N47" i="1" s="1"/>
  <c r="G51" i="1"/>
  <c r="S56" i="5"/>
  <c r="F32" i="5"/>
  <c r="N65" i="6"/>
  <c r="M65" i="6"/>
  <c r="P65" i="6" s="1"/>
  <c r="J68" i="6" l="1"/>
  <c r="N68" i="6" s="1"/>
  <c r="L77" i="6"/>
  <c r="K75" i="6"/>
  <c r="K73" i="6"/>
  <c r="L69" i="6"/>
  <c r="L75" i="6"/>
  <c r="L76" i="6"/>
  <c r="L78" i="6"/>
  <c r="L80" i="6"/>
  <c r="L82" i="6"/>
  <c r="L84" i="6"/>
  <c r="K69" i="6"/>
  <c r="K71" i="6"/>
  <c r="L68" i="6"/>
  <c r="L79" i="6"/>
  <c r="L83" i="6"/>
  <c r="K70" i="6"/>
  <c r="L70" i="6"/>
  <c r="K74" i="6"/>
  <c r="L72" i="6"/>
  <c r="L81" i="6"/>
  <c r="K72" i="6"/>
  <c r="L74" i="6"/>
  <c r="L73" i="6"/>
  <c r="K68" i="6"/>
  <c r="L71" i="6"/>
  <c r="O65" i="6"/>
  <c r="J31" i="6"/>
  <c r="N31" i="6" s="1"/>
  <c r="L35" i="6"/>
  <c r="L44" i="6"/>
  <c r="K34" i="6"/>
  <c r="L45" i="6"/>
  <c r="L36" i="6"/>
  <c r="K35" i="6"/>
  <c r="K44" i="6"/>
  <c r="K38" i="6"/>
  <c r="L46" i="6"/>
  <c r="L31" i="6"/>
  <c r="L48" i="6"/>
  <c r="L39" i="6"/>
  <c r="K43" i="6"/>
  <c r="J73" i="1"/>
  <c r="N73" i="1" s="1"/>
  <c r="K75" i="1"/>
  <c r="L75" i="1"/>
  <c r="K84" i="1"/>
  <c r="L78" i="1"/>
  <c r="L77" i="1"/>
  <c r="K74" i="1"/>
  <c r="L83" i="1"/>
  <c r="K81" i="1"/>
  <c r="L72" i="7"/>
  <c r="K72" i="7"/>
  <c r="J72" i="7"/>
  <c r="D30" i="7"/>
  <c r="L30" i="7"/>
  <c r="J30" i="7"/>
  <c r="K30" i="7"/>
  <c r="F76" i="7"/>
  <c r="E72" i="7"/>
  <c r="D73" i="7" s="1"/>
  <c r="M71" i="1"/>
  <c r="P71" i="1" s="1"/>
  <c r="N65" i="1"/>
  <c r="M77" i="1"/>
  <c r="P77" i="1" s="1"/>
  <c r="M65" i="1"/>
  <c r="P65" i="1" s="1"/>
  <c r="M70" i="1"/>
  <c r="P70" i="1" s="1"/>
  <c r="M68" i="1"/>
  <c r="P68" i="1" s="1"/>
  <c r="M66" i="6"/>
  <c r="P66" i="6" s="1"/>
  <c r="M78" i="6"/>
  <c r="P78" i="6" s="1"/>
  <c r="M82" i="6"/>
  <c r="P82" i="6" s="1"/>
  <c r="M84" i="6"/>
  <c r="M73" i="6"/>
  <c r="P73" i="6" s="1"/>
  <c r="M75" i="6"/>
  <c r="P75" i="6" s="1"/>
  <c r="M77" i="6"/>
  <c r="P77" i="6" s="1"/>
  <c r="K78" i="1"/>
  <c r="G59" i="1"/>
  <c r="G53" i="1"/>
  <c r="G57" i="1"/>
  <c r="G37" i="1"/>
  <c r="I37" i="1" s="1"/>
  <c r="J37" i="1" s="1"/>
  <c r="N37" i="1" s="1"/>
  <c r="G58" i="1"/>
  <c r="G60" i="1"/>
  <c r="G55" i="1"/>
  <c r="S54" i="5"/>
  <c r="F30" i="5" s="1"/>
  <c r="L71" i="1"/>
  <c r="K82" i="1"/>
  <c r="K69" i="1"/>
  <c r="G41" i="1"/>
  <c r="I41" i="1" s="1"/>
  <c r="J41" i="1" s="1"/>
  <c r="N41" i="1" s="1"/>
  <c r="G29" i="1"/>
  <c r="I29" i="1" s="1"/>
  <c r="L79" i="1"/>
  <c r="L69" i="1"/>
  <c r="G72" i="5"/>
  <c r="I72" i="5" s="1"/>
  <c r="D72" i="5"/>
  <c r="L40" i="6"/>
  <c r="J67" i="1"/>
  <c r="M75" i="1" s="1"/>
  <c r="P75" i="1" s="1"/>
  <c r="K68" i="1"/>
  <c r="K76" i="1"/>
  <c r="L72" i="1"/>
  <c r="L82" i="1"/>
  <c r="K70" i="1"/>
  <c r="K79" i="1"/>
  <c r="L67" i="1"/>
  <c r="L76" i="1"/>
  <c r="L84" i="1"/>
  <c r="K31" i="6"/>
  <c r="K29" i="6"/>
  <c r="K47" i="6"/>
  <c r="K45" i="6"/>
  <c r="K71" i="1"/>
  <c r="K77" i="1"/>
  <c r="K83" i="1"/>
  <c r="L68" i="1"/>
  <c r="L74" i="1"/>
  <c r="L80" i="1"/>
  <c r="L66" i="1"/>
  <c r="K73" i="1"/>
  <c r="K80" i="1"/>
  <c r="K66" i="1"/>
  <c r="L73" i="1"/>
  <c r="L81" i="1"/>
  <c r="L32" i="6"/>
  <c r="L30" i="6"/>
  <c r="L34" i="6"/>
  <c r="L38" i="6"/>
  <c r="K42" i="6"/>
  <c r="L43" i="6"/>
  <c r="K48" i="6"/>
  <c r="L29" i="6"/>
  <c r="K33" i="6"/>
  <c r="K37" i="6"/>
  <c r="K41" i="6"/>
  <c r="L42" i="6"/>
  <c r="J29" i="6"/>
  <c r="K32" i="6"/>
  <c r="L33" i="6"/>
  <c r="K36" i="6"/>
  <c r="L37" i="6"/>
  <c r="K40" i="6"/>
  <c r="L41" i="6"/>
  <c r="K46" i="6"/>
  <c r="L47" i="6"/>
  <c r="K30" i="6"/>
  <c r="K39" i="6"/>
  <c r="K77" i="6"/>
  <c r="S54" i="1"/>
  <c r="K76" i="6"/>
  <c r="S56" i="1"/>
  <c r="K84" i="6"/>
  <c r="K82" i="6"/>
  <c r="K80" i="6"/>
  <c r="K78" i="6"/>
  <c r="J66" i="6"/>
  <c r="K83" i="6"/>
  <c r="K81" i="6"/>
  <c r="K79" i="6"/>
  <c r="F77" i="7" l="1"/>
  <c r="E73" i="7"/>
  <c r="G74" i="7" s="1"/>
  <c r="I74" i="7" s="1"/>
  <c r="J74" i="7" s="1"/>
  <c r="N74" i="7" s="1"/>
  <c r="D74" i="7"/>
  <c r="S57" i="5"/>
  <c r="F33" i="5" s="1"/>
  <c r="G36" i="1"/>
  <c r="I36" i="1" s="1"/>
  <c r="J36" i="1" s="1"/>
  <c r="N36" i="1" s="1"/>
  <c r="G44" i="1"/>
  <c r="I44" i="1" s="1"/>
  <c r="J44" i="1" s="1"/>
  <c r="N44" i="1" s="1"/>
  <c r="G52" i="1"/>
  <c r="G32" i="1"/>
  <c r="I32" i="1" s="1"/>
  <c r="J32" i="1" s="1"/>
  <c r="N32" i="1" s="1"/>
  <c r="G48" i="1"/>
  <c r="I48" i="1" s="1"/>
  <c r="J48" i="1" s="1"/>
  <c r="N48" i="1" s="1"/>
  <c r="G40" i="1"/>
  <c r="I40" i="1" s="1"/>
  <c r="J40" i="1" s="1"/>
  <c r="N40" i="1" s="1"/>
  <c r="F76" i="5"/>
  <c r="E72" i="5"/>
  <c r="G73" i="5" s="1"/>
  <c r="I73" i="5" s="1"/>
  <c r="M85" i="6"/>
  <c r="P84" i="6"/>
  <c r="M82" i="1"/>
  <c r="P82" i="1" s="1"/>
  <c r="G73" i="7"/>
  <c r="I73" i="7" s="1"/>
  <c r="N66" i="6"/>
  <c r="M80" i="6"/>
  <c r="P80" i="6" s="1"/>
  <c r="M70" i="6"/>
  <c r="P70" i="6" s="1"/>
  <c r="M72" i="6"/>
  <c r="P72" i="6" s="1"/>
  <c r="M71" i="6"/>
  <c r="P71" i="6" s="1"/>
  <c r="M81" i="6"/>
  <c r="P81" i="6" s="1"/>
  <c r="M79" i="6"/>
  <c r="P79" i="6" s="1"/>
  <c r="L72" i="5"/>
  <c r="J72" i="5"/>
  <c r="K72" i="5"/>
  <c r="M69" i="6"/>
  <c r="P69" i="6" s="1"/>
  <c r="M68" i="6"/>
  <c r="P68" i="6" s="1"/>
  <c r="M81" i="1"/>
  <c r="P81" i="1" s="1"/>
  <c r="M30" i="7"/>
  <c r="P30" i="7" s="1"/>
  <c r="N30" i="7"/>
  <c r="N29" i="6"/>
  <c r="M31" i="6"/>
  <c r="P31" i="6" s="1"/>
  <c r="M35" i="6"/>
  <c r="P35" i="6" s="1"/>
  <c r="M39" i="6"/>
  <c r="P39" i="6" s="1"/>
  <c r="M44" i="6"/>
  <c r="P44" i="6" s="1"/>
  <c r="M30" i="6"/>
  <c r="P30" i="6" s="1"/>
  <c r="M34" i="6"/>
  <c r="P34" i="6" s="1"/>
  <c r="M38" i="6"/>
  <c r="P38" i="6" s="1"/>
  <c r="M42" i="6"/>
  <c r="P42" i="6" s="1"/>
  <c r="M36" i="6"/>
  <c r="P36" i="6" s="1"/>
  <c r="M45" i="6"/>
  <c r="P45" i="6" s="1"/>
  <c r="M47" i="6"/>
  <c r="P47" i="6" s="1"/>
  <c r="M32" i="6"/>
  <c r="P32" i="6" s="1"/>
  <c r="M46" i="6"/>
  <c r="P46" i="6" s="1"/>
  <c r="M29" i="6"/>
  <c r="P29" i="6" s="1"/>
  <c r="M33" i="6"/>
  <c r="P33" i="6" s="1"/>
  <c r="M43" i="6"/>
  <c r="P43" i="6" s="1"/>
  <c r="M48" i="6"/>
  <c r="M40" i="6"/>
  <c r="P40" i="6" s="1"/>
  <c r="M41" i="6"/>
  <c r="P41" i="6" s="1"/>
  <c r="M37" i="6"/>
  <c r="P37" i="6" s="1"/>
  <c r="D30" i="5"/>
  <c r="G30" i="5"/>
  <c r="I30" i="5" s="1"/>
  <c r="M83" i="1"/>
  <c r="P83" i="1" s="1"/>
  <c r="M73" i="1"/>
  <c r="P73" i="1" s="1"/>
  <c r="N72" i="7"/>
  <c r="M72" i="7"/>
  <c r="P72" i="7" s="1"/>
  <c r="N67" i="1"/>
  <c r="O80" i="1" s="1"/>
  <c r="M67" i="1"/>
  <c r="P67" i="1" s="1"/>
  <c r="M80" i="1"/>
  <c r="P80" i="1" s="1"/>
  <c r="M84" i="1"/>
  <c r="M78" i="1"/>
  <c r="P78" i="1" s="1"/>
  <c r="M72" i="1"/>
  <c r="P72" i="1" s="1"/>
  <c r="M76" i="1"/>
  <c r="P76" i="1" s="1"/>
  <c r="K29" i="1"/>
  <c r="L29" i="1"/>
  <c r="J29" i="1"/>
  <c r="M83" i="6"/>
  <c r="P83" i="6" s="1"/>
  <c r="M74" i="6"/>
  <c r="P74" i="6" s="1"/>
  <c r="M79" i="1"/>
  <c r="P79" i="1" s="1"/>
  <c r="M69" i="1"/>
  <c r="P69" i="1" s="1"/>
  <c r="G30" i="1"/>
  <c r="I30" i="1" s="1"/>
  <c r="J30" i="1" s="1"/>
  <c r="N30" i="1" s="1"/>
  <c r="G42" i="1"/>
  <c r="I42" i="1" s="1"/>
  <c r="J42" i="1" s="1"/>
  <c r="N42" i="1" s="1"/>
  <c r="S55" i="5"/>
  <c r="F31" i="5" s="1"/>
  <c r="G46" i="1"/>
  <c r="I46" i="1" s="1"/>
  <c r="J46" i="1" s="1"/>
  <c r="N46" i="1" s="1"/>
  <c r="G34" i="1"/>
  <c r="I34" i="1" s="1"/>
  <c r="J34" i="1" s="1"/>
  <c r="N34" i="1" s="1"/>
  <c r="G38" i="1"/>
  <c r="I38" i="1" s="1"/>
  <c r="J38" i="1" s="1"/>
  <c r="N38" i="1" s="1"/>
  <c r="G50" i="1"/>
  <c r="F34" i="7"/>
  <c r="D31" i="7"/>
  <c r="E30" i="7"/>
  <c r="G31" i="7" s="1"/>
  <c r="I31" i="7" s="1"/>
  <c r="M76" i="6"/>
  <c r="P76" i="6" s="1"/>
  <c r="M67" i="6"/>
  <c r="P67" i="6" s="1"/>
  <c r="M74" i="1"/>
  <c r="P74" i="1" s="1"/>
  <c r="O68" i="1"/>
  <c r="O74" i="1"/>
  <c r="O69" i="1"/>
  <c r="O76" i="1"/>
  <c r="O83" i="1"/>
  <c r="O71" i="1"/>
  <c r="O78" i="1"/>
  <c r="O65" i="1"/>
  <c r="O73" i="1"/>
  <c r="O84" i="1"/>
  <c r="O66" i="1"/>
  <c r="O77" i="1"/>
  <c r="O79" i="1"/>
  <c r="O67" i="1"/>
  <c r="O82" i="1"/>
  <c r="O72" i="1"/>
  <c r="O70" i="1"/>
  <c r="O81" i="1"/>
  <c r="O75" i="1"/>
  <c r="J73" i="5" l="1"/>
  <c r="N73" i="5" s="1"/>
  <c r="K73" i="5"/>
  <c r="L73" i="5"/>
  <c r="J31" i="7"/>
  <c r="K31" i="7"/>
  <c r="L31" i="7"/>
  <c r="F35" i="7"/>
  <c r="E31" i="7"/>
  <c r="G32" i="7" s="1"/>
  <c r="I32" i="7" s="1"/>
  <c r="D32" i="7"/>
  <c r="D31" i="5"/>
  <c r="K41" i="1"/>
  <c r="K37" i="1"/>
  <c r="L32" i="1"/>
  <c r="K47" i="1"/>
  <c r="K45" i="1"/>
  <c r="L48" i="1"/>
  <c r="L33" i="1"/>
  <c r="P48" i="6"/>
  <c r="M49" i="6"/>
  <c r="J73" i="7"/>
  <c r="L74" i="7"/>
  <c r="K73" i="7"/>
  <c r="K74" i="7"/>
  <c r="L73" i="7"/>
  <c r="K46" i="1"/>
  <c r="L43" i="1"/>
  <c r="K42" i="1"/>
  <c r="L40" i="1"/>
  <c r="L38" i="1"/>
  <c r="L42" i="1"/>
  <c r="J30" i="5"/>
  <c r="K30" i="5"/>
  <c r="L30" i="5"/>
  <c r="L31" i="1"/>
  <c r="K31" i="1"/>
  <c r="L36" i="1"/>
  <c r="E30" i="5"/>
  <c r="G31" i="5"/>
  <c r="I31" i="5" s="1"/>
  <c r="J31" i="5" s="1"/>
  <c r="N31" i="5" s="1"/>
  <c r="F34" i="5"/>
  <c r="K35" i="1"/>
  <c r="L34" i="1"/>
  <c r="L47" i="1"/>
  <c r="K44" i="1"/>
  <c r="F78" i="7"/>
  <c r="E74" i="7"/>
  <c r="D75" i="7"/>
  <c r="G75" i="7"/>
  <c r="I75" i="7" s="1"/>
  <c r="J75" i="7" s="1"/>
  <c r="N75" i="7" s="1"/>
  <c r="M32" i="1"/>
  <c r="P32" i="1" s="1"/>
  <c r="M38" i="1"/>
  <c r="P38" i="1" s="1"/>
  <c r="M44" i="1"/>
  <c r="P44" i="1" s="1"/>
  <c r="M48" i="1"/>
  <c r="M35" i="1"/>
  <c r="P35" i="1" s="1"/>
  <c r="M41" i="1"/>
  <c r="P41" i="1" s="1"/>
  <c r="M47" i="1"/>
  <c r="P47" i="1" s="1"/>
  <c r="M46" i="1"/>
  <c r="P46" i="1" s="1"/>
  <c r="M39" i="1"/>
  <c r="P39" i="1" s="1"/>
  <c r="M34" i="1"/>
  <c r="P34" i="1" s="1"/>
  <c r="M29" i="1"/>
  <c r="P29" i="1" s="1"/>
  <c r="M33" i="1"/>
  <c r="P33" i="1" s="1"/>
  <c r="M36" i="1"/>
  <c r="P36" i="1" s="1"/>
  <c r="M37" i="1"/>
  <c r="P37" i="1" s="1"/>
  <c r="M31" i="1"/>
  <c r="P31" i="1" s="1"/>
  <c r="M42" i="1"/>
  <c r="P42" i="1" s="1"/>
  <c r="M30" i="1"/>
  <c r="P30" i="1" s="1"/>
  <c r="M43" i="1"/>
  <c r="P43" i="1" s="1"/>
  <c r="M40" i="1"/>
  <c r="P40" i="1" s="1"/>
  <c r="M45" i="1"/>
  <c r="P45" i="1" s="1"/>
  <c r="N29" i="1"/>
  <c r="K48" i="1"/>
  <c r="K36" i="1"/>
  <c r="K40" i="1"/>
  <c r="L37" i="1"/>
  <c r="L45" i="1"/>
  <c r="M85" i="1"/>
  <c r="P84" i="1"/>
  <c r="O72" i="7"/>
  <c r="D73" i="5"/>
  <c r="L46" i="1"/>
  <c r="L41" i="1"/>
  <c r="K33" i="1"/>
  <c r="L44" i="1"/>
  <c r="K39" i="1"/>
  <c r="L30" i="1"/>
  <c r="L35" i="1"/>
  <c r="K34" i="1"/>
  <c r="K43" i="1"/>
  <c r="K38" i="1"/>
  <c r="K32" i="1"/>
  <c r="K30" i="1"/>
  <c r="L39" i="1"/>
  <c r="O45" i="6"/>
  <c r="O33" i="6"/>
  <c r="O30" i="6"/>
  <c r="O34" i="6"/>
  <c r="O38" i="6"/>
  <c r="O43" i="6"/>
  <c r="O48" i="6"/>
  <c r="O41" i="6"/>
  <c r="O29" i="6"/>
  <c r="O35" i="6"/>
  <c r="O31" i="6"/>
  <c r="O36" i="6"/>
  <c r="O39" i="6"/>
  <c r="O40" i="6"/>
  <c r="O42" i="6"/>
  <c r="O46" i="6"/>
  <c r="O37" i="6"/>
  <c r="O44" i="6"/>
  <c r="O32" i="6"/>
  <c r="O47" i="6"/>
  <c r="O30" i="7"/>
  <c r="N72" i="5"/>
  <c r="M72" i="5"/>
  <c r="P72" i="5" s="1"/>
  <c r="O78" i="6"/>
  <c r="O82" i="6"/>
  <c r="O79" i="6"/>
  <c r="O75" i="6"/>
  <c r="O83" i="6"/>
  <c r="O67" i="6"/>
  <c r="O70" i="6"/>
  <c r="O72" i="6"/>
  <c r="O66" i="6"/>
  <c r="O77" i="6"/>
  <c r="O81" i="6"/>
  <c r="O80" i="6"/>
  <c r="O69" i="6"/>
  <c r="O76" i="6"/>
  <c r="O84" i="6"/>
  <c r="O74" i="6"/>
  <c r="O71" i="6"/>
  <c r="O68" i="6"/>
  <c r="O73" i="6"/>
  <c r="J32" i="7" l="1"/>
  <c r="N32" i="7" s="1"/>
  <c r="L32" i="7"/>
  <c r="K32" i="7"/>
  <c r="F79" i="7"/>
  <c r="E75" i="7"/>
  <c r="G76" i="7"/>
  <c r="I76" i="7" s="1"/>
  <c r="D76" i="7"/>
  <c r="M30" i="5"/>
  <c r="P30" i="5" s="1"/>
  <c r="M31" i="5"/>
  <c r="P31" i="5" s="1"/>
  <c r="N30" i="5"/>
  <c r="O72" i="5"/>
  <c r="O73" i="5"/>
  <c r="P48" i="1"/>
  <c r="M49" i="1"/>
  <c r="K31" i="5"/>
  <c r="L75" i="7"/>
  <c r="O37" i="1"/>
  <c r="O48" i="1"/>
  <c r="O38" i="1"/>
  <c r="O41" i="1"/>
  <c r="O30" i="1"/>
  <c r="O42" i="1"/>
  <c r="O45" i="1"/>
  <c r="O40" i="1"/>
  <c r="O33" i="1"/>
  <c r="O29" i="1"/>
  <c r="O46" i="1"/>
  <c r="O43" i="1"/>
  <c r="O32" i="1"/>
  <c r="O35" i="1"/>
  <c r="O36" i="1"/>
  <c r="O47" i="1"/>
  <c r="O34" i="1"/>
  <c r="O31" i="1"/>
  <c r="O39" i="1"/>
  <c r="O44" i="1"/>
  <c r="E31" i="5"/>
  <c r="G32" i="5" s="1"/>
  <c r="I32" i="5" s="1"/>
  <c r="F35" i="5"/>
  <c r="L76" i="7"/>
  <c r="E32" i="7"/>
  <c r="G33" i="7" s="1"/>
  <c r="I33" i="7" s="1"/>
  <c r="D33" i="7"/>
  <c r="F36" i="7"/>
  <c r="N31" i="7"/>
  <c r="M31" i="7"/>
  <c r="P31" i="7" s="1"/>
  <c r="M32" i="7"/>
  <c r="P32" i="7" s="1"/>
  <c r="F77" i="5"/>
  <c r="G74" i="5"/>
  <c r="I74" i="5" s="1"/>
  <c r="E73" i="5"/>
  <c r="D74" i="5"/>
  <c r="L31" i="5"/>
  <c r="K75" i="7"/>
  <c r="N73" i="7"/>
  <c r="M74" i="7"/>
  <c r="P74" i="7" s="1"/>
  <c r="M73" i="7"/>
  <c r="P73" i="7" s="1"/>
  <c r="M75" i="7"/>
  <c r="P75" i="7" s="1"/>
  <c r="M73" i="5"/>
  <c r="P73" i="5" s="1"/>
  <c r="K76" i="7"/>
  <c r="J32" i="5" l="1"/>
  <c r="K32" i="5"/>
  <c r="L32" i="5"/>
  <c r="J33" i="7"/>
  <c r="L33" i="7"/>
  <c r="K33" i="7"/>
  <c r="J74" i="5"/>
  <c r="K74" i="5"/>
  <c r="L74" i="5"/>
  <c r="D32" i="5"/>
  <c r="O75" i="7"/>
  <c r="O74" i="7"/>
  <c r="O73" i="7"/>
  <c r="F37" i="7"/>
  <c r="E33" i="7"/>
  <c r="G34" i="7" s="1"/>
  <c r="I34" i="7" s="1"/>
  <c r="D34" i="7"/>
  <c r="F80" i="7"/>
  <c r="E76" i="7"/>
  <c r="G77" i="7" s="1"/>
  <c r="I77" i="7" s="1"/>
  <c r="D77" i="7"/>
  <c r="E74" i="5"/>
  <c r="G75" i="5" s="1"/>
  <c r="I75" i="5" s="1"/>
  <c r="F78" i="5"/>
  <c r="J76" i="7"/>
  <c r="O30" i="5"/>
  <c r="O31" i="5"/>
  <c r="O32" i="7"/>
  <c r="O31" i="7"/>
  <c r="J77" i="7" l="1"/>
  <c r="N77" i="7" s="1"/>
  <c r="L77" i="7"/>
  <c r="K77" i="7"/>
  <c r="J34" i="7"/>
  <c r="N34" i="7" s="1"/>
  <c r="L34" i="7"/>
  <c r="K34" i="7"/>
  <c r="J75" i="5"/>
  <c r="N75" i="5" s="1"/>
  <c r="K75" i="5"/>
  <c r="L75" i="5"/>
  <c r="F38" i="7"/>
  <c r="E34" i="7"/>
  <c r="G35" i="7" s="1"/>
  <c r="I35" i="7" s="1"/>
  <c r="D35" i="7"/>
  <c r="N74" i="5"/>
  <c r="M74" i="5"/>
  <c r="P74" i="5" s="1"/>
  <c r="M75" i="5"/>
  <c r="P75" i="5" s="1"/>
  <c r="D75" i="5"/>
  <c r="N32" i="5"/>
  <c r="M32" i="5"/>
  <c r="P32" i="5" s="1"/>
  <c r="F81" i="7"/>
  <c r="E77" i="7"/>
  <c r="D78" i="7" s="1"/>
  <c r="N76" i="7"/>
  <c r="M76" i="7"/>
  <c r="P76" i="7" s="1"/>
  <c r="E32" i="5"/>
  <c r="G33" i="5"/>
  <c r="I33" i="5" s="1"/>
  <c r="F36" i="5"/>
  <c r="D33" i="5"/>
  <c r="N33" i="7"/>
  <c r="M33" i="7"/>
  <c r="P33" i="7" s="1"/>
  <c r="E78" i="7" l="1"/>
  <c r="G79" i="7" s="1"/>
  <c r="I79" i="7" s="1"/>
  <c r="J79" i="7" s="1"/>
  <c r="N79" i="7" s="1"/>
  <c r="F82" i="7"/>
  <c r="J35" i="7"/>
  <c r="L35" i="7"/>
  <c r="K35" i="7"/>
  <c r="L36" i="7"/>
  <c r="E33" i="5"/>
  <c r="G34" i="5" s="1"/>
  <c r="I34" i="5" s="1"/>
  <c r="F37" i="5"/>
  <c r="J33" i="5"/>
  <c r="K33" i="5"/>
  <c r="L33" i="5"/>
  <c r="G78" i="7"/>
  <c r="I78" i="7" s="1"/>
  <c r="M34" i="7"/>
  <c r="P34" i="7" s="1"/>
  <c r="M77" i="7"/>
  <c r="P77" i="7" s="1"/>
  <c r="O76" i="7"/>
  <c r="O77" i="7"/>
  <c r="F79" i="5"/>
  <c r="E75" i="5"/>
  <c r="G76" i="5" s="1"/>
  <c r="I76" i="5" s="1"/>
  <c r="D76" i="5"/>
  <c r="E35" i="7"/>
  <c r="G36" i="7"/>
  <c r="I36" i="7" s="1"/>
  <c r="F39" i="7"/>
  <c r="D36" i="7"/>
  <c r="O32" i="5"/>
  <c r="O33" i="7"/>
  <c r="O34" i="7"/>
  <c r="O75" i="5"/>
  <c r="O74" i="5"/>
  <c r="J76" i="5" l="1"/>
  <c r="L76" i="5"/>
  <c r="K76" i="5"/>
  <c r="J34" i="5"/>
  <c r="N34" i="5" s="1"/>
  <c r="L34" i="5"/>
  <c r="K34" i="5"/>
  <c r="J78" i="7"/>
  <c r="K78" i="7"/>
  <c r="K79" i="7"/>
  <c r="L79" i="7"/>
  <c r="L78" i="7"/>
  <c r="E36" i="7"/>
  <c r="G37" i="7" s="1"/>
  <c r="I37" i="7" s="1"/>
  <c r="F40" i="7"/>
  <c r="D37" i="7"/>
  <c r="J36" i="7"/>
  <c r="K36" i="7"/>
  <c r="D34" i="5"/>
  <c r="G77" i="5"/>
  <c r="I77" i="5" s="1"/>
  <c r="J77" i="5" s="1"/>
  <c r="N77" i="5" s="1"/>
  <c r="E76" i="5"/>
  <c r="F80" i="5"/>
  <c r="D77" i="5"/>
  <c r="N33" i="5"/>
  <c r="M34" i="5"/>
  <c r="P34" i="5" s="1"/>
  <c r="M33" i="5"/>
  <c r="P33" i="5" s="1"/>
  <c r="N35" i="7"/>
  <c r="D79" i="7"/>
  <c r="M35" i="7"/>
  <c r="P35" i="7" s="1"/>
  <c r="J37" i="7" l="1"/>
  <c r="L37" i="7"/>
  <c r="K37" i="7"/>
  <c r="N76" i="5"/>
  <c r="M77" i="5"/>
  <c r="P77" i="5" s="1"/>
  <c r="M76" i="5"/>
  <c r="P76" i="5" s="1"/>
  <c r="E37" i="7"/>
  <c r="G38" i="7" s="1"/>
  <c r="I38" i="7" s="1"/>
  <c r="F41" i="7"/>
  <c r="D38" i="7"/>
  <c r="E77" i="5"/>
  <c r="G78" i="5" s="1"/>
  <c r="I78" i="5" s="1"/>
  <c r="F81" i="5"/>
  <c r="D78" i="5"/>
  <c r="E79" i="7"/>
  <c r="G80" i="7" s="1"/>
  <c r="I80" i="7" s="1"/>
  <c r="F83" i="7"/>
  <c r="K77" i="5"/>
  <c r="N36" i="7"/>
  <c r="O35" i="7"/>
  <c r="O36" i="7"/>
  <c r="O33" i="5"/>
  <c r="O34" i="5"/>
  <c r="M36" i="7"/>
  <c r="P36" i="7" s="1"/>
  <c r="E34" i="5"/>
  <c r="G35" i="5" s="1"/>
  <c r="I35" i="5" s="1"/>
  <c r="F38" i="5"/>
  <c r="L77" i="5"/>
  <c r="N78" i="7"/>
  <c r="M79" i="7"/>
  <c r="P79" i="7" s="1"/>
  <c r="M78" i="7"/>
  <c r="P78" i="7" s="1"/>
  <c r="J80" i="7" l="1"/>
  <c r="L80" i="7"/>
  <c r="K80" i="7"/>
  <c r="J38" i="7"/>
  <c r="L38" i="7"/>
  <c r="K38" i="7"/>
  <c r="J35" i="5"/>
  <c r="L35" i="5"/>
  <c r="K35" i="5"/>
  <c r="J78" i="5"/>
  <c r="L78" i="5"/>
  <c r="K78" i="5"/>
  <c r="F42" i="7"/>
  <c r="E38" i="7"/>
  <c r="G39" i="7" s="1"/>
  <c r="I39" i="7" s="1"/>
  <c r="N37" i="7"/>
  <c r="D80" i="7"/>
  <c r="E78" i="5"/>
  <c r="G79" i="5"/>
  <c r="I79" i="5" s="1"/>
  <c r="F82" i="5"/>
  <c r="D79" i="5"/>
  <c r="O77" i="5"/>
  <c r="O76" i="5"/>
  <c r="M37" i="7"/>
  <c r="P37" i="7" s="1"/>
  <c r="O78" i="7"/>
  <c r="O79" i="7"/>
  <c r="D35" i="5"/>
  <c r="J39" i="7" l="1"/>
  <c r="K39" i="7"/>
  <c r="L39" i="7"/>
  <c r="E79" i="5"/>
  <c r="D80" i="5" s="1"/>
  <c r="G80" i="5"/>
  <c r="I80" i="5" s="1"/>
  <c r="F83" i="5"/>
  <c r="N35" i="5"/>
  <c r="M35" i="5"/>
  <c r="P35" i="5" s="1"/>
  <c r="J79" i="5"/>
  <c r="N79" i="5" s="1"/>
  <c r="K79" i="5"/>
  <c r="L79" i="5"/>
  <c r="G36" i="5"/>
  <c r="I36" i="5" s="1"/>
  <c r="E35" i="5"/>
  <c r="D36" i="5" s="1"/>
  <c r="F39" i="5"/>
  <c r="D39" i="7"/>
  <c r="N78" i="5"/>
  <c r="M78" i="5"/>
  <c r="P78" i="5" s="1"/>
  <c r="M79" i="5"/>
  <c r="P79" i="5" s="1"/>
  <c r="O38" i="7"/>
  <c r="O37" i="7"/>
  <c r="N38" i="7"/>
  <c r="M38" i="7"/>
  <c r="P38" i="7" s="1"/>
  <c r="E80" i="7"/>
  <c r="D81" i="7" s="1"/>
  <c r="G81" i="7"/>
  <c r="I81" i="7" s="1"/>
  <c r="F84" i="7"/>
  <c r="N80" i="7"/>
  <c r="M80" i="7"/>
  <c r="P80" i="7" s="1"/>
  <c r="E81" i="7" l="1"/>
  <c r="G82" i="7"/>
  <c r="I82" i="7" s="1"/>
  <c r="F85" i="7"/>
  <c r="D82" i="7"/>
  <c r="E36" i="5"/>
  <c r="G37" i="5" s="1"/>
  <c r="I37" i="5" s="1"/>
  <c r="F40" i="5"/>
  <c r="E80" i="5"/>
  <c r="D81" i="5" s="1"/>
  <c r="F84" i="5"/>
  <c r="G81" i="5"/>
  <c r="I81" i="5" s="1"/>
  <c r="J80" i="5"/>
  <c r="K80" i="5"/>
  <c r="L80" i="5"/>
  <c r="J81" i="7"/>
  <c r="K81" i="7"/>
  <c r="L81" i="7"/>
  <c r="J36" i="5"/>
  <c r="K36" i="5"/>
  <c r="L36" i="5"/>
  <c r="O79" i="5"/>
  <c r="O78" i="5"/>
  <c r="O35" i="5"/>
  <c r="F43" i="7"/>
  <c r="E39" i="7"/>
  <c r="D40" i="7" s="1"/>
  <c r="O80" i="7"/>
  <c r="N39" i="7"/>
  <c r="O39" i="7" s="1"/>
  <c r="M39" i="7"/>
  <c r="P39" i="7" s="1"/>
  <c r="F44" i="7" l="1"/>
  <c r="E40" i="7"/>
  <c r="G41" i="7" s="1"/>
  <c r="I41" i="7" s="1"/>
  <c r="D41" i="7"/>
  <c r="J37" i="5"/>
  <c r="N37" i="5" s="1"/>
  <c r="L37" i="5"/>
  <c r="K37" i="5"/>
  <c r="E81" i="5"/>
  <c r="G82" i="5"/>
  <c r="I82" i="5" s="1"/>
  <c r="F85" i="5"/>
  <c r="D82" i="5"/>
  <c r="N36" i="5"/>
  <c r="M36" i="5"/>
  <c r="P36" i="5" s="1"/>
  <c r="G40" i="7"/>
  <c r="I40" i="7" s="1"/>
  <c r="N81" i="7"/>
  <c r="O81" i="7" s="1"/>
  <c r="M81" i="7"/>
  <c r="P81" i="7" s="1"/>
  <c r="J81" i="5"/>
  <c r="L81" i="5"/>
  <c r="K81" i="5"/>
  <c r="F86" i="7"/>
  <c r="E82" i="7"/>
  <c r="D83" i="7" s="1"/>
  <c r="D37" i="5"/>
  <c r="J82" i="7"/>
  <c r="L82" i="7"/>
  <c r="K82" i="7"/>
  <c r="N80" i="5"/>
  <c r="M80" i="5"/>
  <c r="P80" i="5" s="1"/>
  <c r="E83" i="7" l="1"/>
  <c r="G84" i="7"/>
  <c r="I84" i="7" s="1"/>
  <c r="F87" i="7"/>
  <c r="D84" i="7"/>
  <c r="J41" i="7"/>
  <c r="L41" i="7"/>
  <c r="K41" i="7"/>
  <c r="N82" i="7"/>
  <c r="O82" i="7" s="1"/>
  <c r="M82" i="7"/>
  <c r="P82" i="7" s="1"/>
  <c r="N81" i="5"/>
  <c r="O81" i="5" s="1"/>
  <c r="M81" i="5"/>
  <c r="P81" i="5" s="1"/>
  <c r="G83" i="7"/>
  <c r="I83" i="7" s="1"/>
  <c r="O37" i="5"/>
  <c r="O36" i="5"/>
  <c r="F41" i="5"/>
  <c r="E37" i="5"/>
  <c r="G38" i="5" s="1"/>
  <c r="I38" i="5" s="1"/>
  <c r="F86" i="5"/>
  <c r="E82" i="5"/>
  <c r="G83" i="5" s="1"/>
  <c r="I83" i="5" s="1"/>
  <c r="M37" i="5"/>
  <c r="P37" i="5" s="1"/>
  <c r="E41" i="7"/>
  <c r="F45" i="7"/>
  <c r="G42" i="7"/>
  <c r="I42" i="7" s="1"/>
  <c r="D42" i="7"/>
  <c r="J82" i="5"/>
  <c r="K82" i="5"/>
  <c r="L82" i="5"/>
  <c r="O80" i="5"/>
  <c r="J40" i="7"/>
  <c r="K40" i="7"/>
  <c r="L40" i="7"/>
  <c r="J83" i="5" l="1"/>
  <c r="L83" i="5"/>
  <c r="K83" i="5"/>
  <c r="J38" i="5"/>
  <c r="K38" i="5"/>
  <c r="L38" i="5"/>
  <c r="E42" i="7"/>
  <c r="F46" i="7"/>
  <c r="G43" i="7"/>
  <c r="I43" i="7" s="1"/>
  <c r="D43" i="7"/>
  <c r="N41" i="7"/>
  <c r="O41" i="7" s="1"/>
  <c r="M41" i="7"/>
  <c r="P41" i="7" s="1"/>
  <c r="J42" i="7"/>
  <c r="K42" i="7"/>
  <c r="L42" i="7"/>
  <c r="D38" i="5"/>
  <c r="N82" i="5"/>
  <c r="O82" i="5" s="1"/>
  <c r="M82" i="5"/>
  <c r="P82" i="5" s="1"/>
  <c r="D83" i="5"/>
  <c r="J83" i="7"/>
  <c r="L83" i="7"/>
  <c r="K83" i="7"/>
  <c r="F88" i="7"/>
  <c r="E84" i="7"/>
  <c r="D85" i="7" s="1"/>
  <c r="N40" i="7"/>
  <c r="O40" i="7" s="1"/>
  <c r="M40" i="7"/>
  <c r="P40" i="7" s="1"/>
  <c r="J84" i="7"/>
  <c r="L84" i="7"/>
  <c r="K84" i="7"/>
  <c r="F89" i="7" l="1"/>
  <c r="E85" i="7"/>
  <c r="G86" i="7" s="1"/>
  <c r="I86" i="7" s="1"/>
  <c r="G85" i="7"/>
  <c r="I85" i="7" s="1"/>
  <c r="G39" i="5"/>
  <c r="I39" i="5" s="1"/>
  <c r="F42" i="5"/>
  <c r="E38" i="5"/>
  <c r="D39" i="5"/>
  <c r="J43" i="7"/>
  <c r="K43" i="7"/>
  <c r="L43" i="7"/>
  <c r="F47" i="7"/>
  <c r="E43" i="7"/>
  <c r="G44" i="7" s="1"/>
  <c r="I44" i="7" s="1"/>
  <c r="D44" i="7"/>
  <c r="N38" i="5"/>
  <c r="O38" i="5" s="1"/>
  <c r="M38" i="5"/>
  <c r="P38" i="5" s="1"/>
  <c r="N84" i="7"/>
  <c r="M84" i="7"/>
  <c r="P84" i="7" s="1"/>
  <c r="N83" i="7"/>
  <c r="O83" i="7" s="1"/>
  <c r="M83" i="7"/>
  <c r="P83" i="7" s="1"/>
  <c r="F87" i="5"/>
  <c r="E83" i="5"/>
  <c r="G84" i="5" s="1"/>
  <c r="I84" i="5" s="1"/>
  <c r="N42" i="7"/>
  <c r="O42" i="7" s="1"/>
  <c r="M42" i="7"/>
  <c r="P42" i="7" s="1"/>
  <c r="N83" i="5"/>
  <c r="O83" i="5" s="1"/>
  <c r="M83" i="5"/>
  <c r="P83" i="5" s="1"/>
  <c r="J44" i="7" l="1"/>
  <c r="K44" i="7"/>
  <c r="L44" i="7"/>
  <c r="J84" i="5"/>
  <c r="L84" i="5"/>
  <c r="K84" i="5"/>
  <c r="J86" i="7"/>
  <c r="K86" i="7"/>
  <c r="L86" i="7"/>
  <c r="J39" i="5"/>
  <c r="L39" i="5"/>
  <c r="K39" i="5"/>
  <c r="E44" i="7"/>
  <c r="G45" i="7"/>
  <c r="I45" i="7" s="1"/>
  <c r="F48" i="7"/>
  <c r="D45" i="7"/>
  <c r="N43" i="7"/>
  <c r="O43" i="7" s="1"/>
  <c r="M43" i="7"/>
  <c r="P43" i="7" s="1"/>
  <c r="J85" i="7"/>
  <c r="L85" i="7"/>
  <c r="K85" i="7"/>
  <c r="D84" i="5"/>
  <c r="D86" i="7"/>
  <c r="F43" i="5"/>
  <c r="E39" i="5"/>
  <c r="G40" i="5"/>
  <c r="I40" i="5" s="1"/>
  <c r="D40" i="5"/>
  <c r="O84" i="7"/>
  <c r="E84" i="5" l="1"/>
  <c r="F88" i="5"/>
  <c r="G85" i="5"/>
  <c r="I85" i="5" s="1"/>
  <c r="D85" i="5"/>
  <c r="N39" i="5"/>
  <c r="O39" i="5" s="1"/>
  <c r="M39" i="5"/>
  <c r="P39" i="5" s="1"/>
  <c r="F90" i="7"/>
  <c r="E86" i="7"/>
  <c r="G87" i="7" s="1"/>
  <c r="I87" i="7" s="1"/>
  <c r="E45" i="7"/>
  <c r="D46" i="7" s="1"/>
  <c r="F49" i="7"/>
  <c r="J40" i="5"/>
  <c r="L40" i="5"/>
  <c r="K40" i="5"/>
  <c r="N84" i="5"/>
  <c r="O84" i="5" s="1"/>
  <c r="M84" i="5"/>
  <c r="P84" i="5" s="1"/>
  <c r="G41" i="5"/>
  <c r="I41" i="5" s="1"/>
  <c r="E40" i="5"/>
  <c r="D41" i="5" s="1"/>
  <c r="F44" i="5"/>
  <c r="J45" i="7"/>
  <c r="K45" i="7"/>
  <c r="L45" i="7"/>
  <c r="N85" i="7"/>
  <c r="O85" i="7" s="1"/>
  <c r="M85" i="7"/>
  <c r="P85" i="7" s="1"/>
  <c r="N86" i="7"/>
  <c r="M86" i="7"/>
  <c r="P86" i="7" s="1"/>
  <c r="N44" i="7"/>
  <c r="O44" i="7" s="1"/>
  <c r="M44" i="7"/>
  <c r="P44" i="7" s="1"/>
  <c r="E46" i="7" l="1"/>
  <c r="F50" i="7"/>
  <c r="F54" i="7" s="1"/>
  <c r="F58" i="7" s="1"/>
  <c r="G47" i="7"/>
  <c r="I47" i="7" s="1"/>
  <c r="D47" i="7"/>
  <c r="G42" i="5"/>
  <c r="I42" i="5" s="1"/>
  <c r="F45" i="5"/>
  <c r="E41" i="5"/>
  <c r="D42" i="5"/>
  <c r="J87" i="7"/>
  <c r="K87" i="7"/>
  <c r="L87" i="7"/>
  <c r="N40" i="5"/>
  <c r="O40" i="5" s="1"/>
  <c r="M40" i="5"/>
  <c r="P40" i="5" s="1"/>
  <c r="O86" i="7"/>
  <c r="G46" i="7"/>
  <c r="I46" i="7" s="1"/>
  <c r="D87" i="7"/>
  <c r="F89" i="5"/>
  <c r="E85" i="5"/>
  <c r="G86" i="5"/>
  <c r="I86" i="5" s="1"/>
  <c r="D86" i="5"/>
  <c r="J41" i="5"/>
  <c r="L41" i="5"/>
  <c r="K41" i="5"/>
  <c r="J85" i="5"/>
  <c r="L85" i="5"/>
  <c r="K85" i="5"/>
  <c r="N45" i="7"/>
  <c r="O45" i="7" s="1"/>
  <c r="M45" i="7"/>
  <c r="P45" i="7" s="1"/>
  <c r="E87" i="7" l="1"/>
  <c r="G88" i="7" s="1"/>
  <c r="I88" i="7" s="1"/>
  <c r="F91" i="7"/>
  <c r="J42" i="5"/>
  <c r="K42" i="5"/>
  <c r="L42" i="5"/>
  <c r="N41" i="5"/>
  <c r="O41" i="5" s="1"/>
  <c r="M41" i="5"/>
  <c r="P41" i="5" s="1"/>
  <c r="E47" i="7"/>
  <c r="G48" i="7" s="1"/>
  <c r="I48" i="7" s="1"/>
  <c r="F51" i="7"/>
  <c r="F55" i="7" s="1"/>
  <c r="F59" i="7" s="1"/>
  <c r="D48" i="7"/>
  <c r="E86" i="5"/>
  <c r="D87" i="5" s="1"/>
  <c r="F90" i="5"/>
  <c r="J46" i="7"/>
  <c r="L46" i="7"/>
  <c r="K46" i="7"/>
  <c r="N87" i="7"/>
  <c r="O87" i="7" s="1"/>
  <c r="M87" i="7"/>
  <c r="P87" i="7" s="1"/>
  <c r="J47" i="7"/>
  <c r="L47" i="7"/>
  <c r="K47" i="7"/>
  <c r="J86" i="5"/>
  <c r="L86" i="5"/>
  <c r="K86" i="5"/>
  <c r="F46" i="5"/>
  <c r="E42" i="5"/>
  <c r="G43" i="5"/>
  <c r="I43" i="5" s="1"/>
  <c r="D43" i="5"/>
  <c r="N85" i="5"/>
  <c r="O85" i="5" s="1"/>
  <c r="M85" i="5"/>
  <c r="P85" i="5" s="1"/>
  <c r="J48" i="7" l="1"/>
  <c r="K48" i="7"/>
  <c r="L48" i="7"/>
  <c r="F91" i="5"/>
  <c r="E87" i="5"/>
  <c r="D88" i="5" s="1"/>
  <c r="J88" i="7"/>
  <c r="K88" i="7"/>
  <c r="L88" i="7"/>
  <c r="D88" i="7"/>
  <c r="F47" i="5"/>
  <c r="E43" i="5"/>
  <c r="G44" i="5" s="1"/>
  <c r="I44" i="5" s="1"/>
  <c r="D44" i="5"/>
  <c r="N86" i="5"/>
  <c r="O86" i="5" s="1"/>
  <c r="M86" i="5"/>
  <c r="P86" i="5" s="1"/>
  <c r="G87" i="5"/>
  <c r="I87" i="5" s="1"/>
  <c r="J43" i="5"/>
  <c r="L43" i="5"/>
  <c r="K43" i="5"/>
  <c r="E48" i="7"/>
  <c r="G49" i="7" s="1"/>
  <c r="I49" i="7" s="1"/>
  <c r="F52" i="7"/>
  <c r="F56" i="7" s="1"/>
  <c r="F60" i="7" s="1"/>
  <c r="D49" i="7"/>
  <c r="N46" i="7"/>
  <c r="O46" i="7" s="1"/>
  <c r="M46" i="7"/>
  <c r="P46" i="7" s="1"/>
  <c r="N47" i="7"/>
  <c r="M47" i="7"/>
  <c r="P47" i="7" s="1"/>
  <c r="N42" i="5"/>
  <c r="O42" i="5" s="1"/>
  <c r="M42" i="5"/>
  <c r="P42" i="5" s="1"/>
  <c r="J44" i="5" l="1"/>
  <c r="L44" i="5"/>
  <c r="K44" i="5"/>
  <c r="E88" i="5"/>
  <c r="D89" i="5" s="1"/>
  <c r="F92" i="5"/>
  <c r="F96" i="5" s="1"/>
  <c r="F100" i="5" s="1"/>
  <c r="J49" i="7"/>
  <c r="K49" i="7"/>
  <c r="L49" i="7"/>
  <c r="G45" i="5"/>
  <c r="I45" i="5" s="1"/>
  <c r="E44" i="5"/>
  <c r="D45" i="5" s="1"/>
  <c r="F48" i="5"/>
  <c r="O47" i="7"/>
  <c r="F92" i="7"/>
  <c r="F96" i="7" s="1"/>
  <c r="F100" i="7" s="1"/>
  <c r="E88" i="7"/>
  <c r="D89" i="7" s="1"/>
  <c r="G88" i="5"/>
  <c r="I88" i="5" s="1"/>
  <c r="G58" i="7"/>
  <c r="G56" i="7"/>
  <c r="E49" i="7"/>
  <c r="G50" i="7" s="1"/>
  <c r="G100" i="7"/>
  <c r="G53" i="7"/>
  <c r="G59" i="7"/>
  <c r="F53" i="7"/>
  <c r="F57" i="7" s="1"/>
  <c r="F61" i="7" s="1"/>
  <c r="G55" i="7"/>
  <c r="G52" i="7"/>
  <c r="G60" i="7"/>
  <c r="N43" i="5"/>
  <c r="O43" i="5" s="1"/>
  <c r="M43" i="5"/>
  <c r="P43" i="5" s="1"/>
  <c r="J87" i="5"/>
  <c r="K87" i="5"/>
  <c r="L87" i="5"/>
  <c r="N88" i="7"/>
  <c r="O88" i="7" s="1"/>
  <c r="M88" i="7"/>
  <c r="P88" i="7" s="1"/>
  <c r="N48" i="7"/>
  <c r="O48" i="7" s="1"/>
  <c r="M48" i="7"/>
  <c r="P48" i="7" s="1"/>
  <c r="F93" i="5" l="1"/>
  <c r="F97" i="5" s="1"/>
  <c r="F101" i="5" s="1"/>
  <c r="E89" i="5"/>
  <c r="G90" i="5" s="1"/>
  <c r="I90" i="5" s="1"/>
  <c r="E45" i="5"/>
  <c r="D46" i="5" s="1"/>
  <c r="F49" i="5"/>
  <c r="F93" i="7"/>
  <c r="F97" i="7" s="1"/>
  <c r="E89" i="7"/>
  <c r="D90" i="7" s="1"/>
  <c r="G90" i="7"/>
  <c r="I90" i="7" s="1"/>
  <c r="G57" i="7"/>
  <c r="G96" i="7"/>
  <c r="G92" i="7"/>
  <c r="G61" i="7"/>
  <c r="G89" i="7"/>
  <c r="I89" i="7" s="1"/>
  <c r="G89" i="5"/>
  <c r="I89" i="5" s="1"/>
  <c r="N87" i="5"/>
  <c r="O87" i="5" s="1"/>
  <c r="M87" i="5"/>
  <c r="P87" i="5" s="1"/>
  <c r="J45" i="5"/>
  <c r="L45" i="5"/>
  <c r="K45" i="5"/>
  <c r="G54" i="7"/>
  <c r="G93" i="7"/>
  <c r="J88" i="5"/>
  <c r="L88" i="5"/>
  <c r="K88" i="5"/>
  <c r="N49" i="7"/>
  <c r="O49" i="7" s="1"/>
  <c r="M49" i="7"/>
  <c r="G51" i="7"/>
  <c r="N44" i="5"/>
  <c r="O44" i="5" s="1"/>
  <c r="M44" i="5"/>
  <c r="P44" i="5" s="1"/>
  <c r="E90" i="7" l="1"/>
  <c r="G91" i="7"/>
  <c r="I91" i="7" s="1"/>
  <c r="F94" i="7"/>
  <c r="D91" i="7"/>
  <c r="G47" i="5"/>
  <c r="I47" i="5" s="1"/>
  <c r="E46" i="5"/>
  <c r="D47" i="5" s="1"/>
  <c r="F50" i="5"/>
  <c r="F54" i="5" s="1"/>
  <c r="F58" i="5" s="1"/>
  <c r="J90" i="5"/>
  <c r="K90" i="5"/>
  <c r="L90" i="5"/>
  <c r="N88" i="5"/>
  <c r="O88" i="5" s="1"/>
  <c r="M88" i="5"/>
  <c r="P88" i="5" s="1"/>
  <c r="J89" i="7"/>
  <c r="L89" i="7"/>
  <c r="K89" i="7"/>
  <c r="G46" i="5"/>
  <c r="I46" i="5" s="1"/>
  <c r="J90" i="7"/>
  <c r="L90" i="7"/>
  <c r="K90" i="7"/>
  <c r="N45" i="5"/>
  <c r="O45" i="5" s="1"/>
  <c r="M45" i="5"/>
  <c r="P45" i="5" s="1"/>
  <c r="D90" i="5"/>
  <c r="P49" i="7"/>
  <c r="M50" i="7"/>
  <c r="F101" i="7"/>
  <c r="G101" i="7" s="1"/>
  <c r="G97" i="7"/>
  <c r="J89" i="5"/>
  <c r="L89" i="5"/>
  <c r="K89" i="5"/>
  <c r="F51" i="5" l="1"/>
  <c r="F55" i="5" s="1"/>
  <c r="F59" i="5" s="1"/>
  <c r="E47" i="5"/>
  <c r="G48" i="5" s="1"/>
  <c r="I48" i="5" s="1"/>
  <c r="F94" i="5"/>
  <c r="F98" i="5" s="1"/>
  <c r="F102" i="5" s="1"/>
  <c r="G91" i="5"/>
  <c r="I91" i="5" s="1"/>
  <c r="E90" i="5"/>
  <c r="D91" i="5"/>
  <c r="J47" i="5"/>
  <c r="L47" i="5"/>
  <c r="K47" i="5"/>
  <c r="N90" i="7"/>
  <c r="O90" i="7" s="1"/>
  <c r="M90" i="7"/>
  <c r="P90" i="7" s="1"/>
  <c r="J46" i="5"/>
  <c r="K46" i="5"/>
  <c r="L46" i="5"/>
  <c r="N90" i="5"/>
  <c r="O90" i="5" s="1"/>
  <c r="M90" i="5"/>
  <c r="P90" i="5" s="1"/>
  <c r="N89" i="5"/>
  <c r="O89" i="5" s="1"/>
  <c r="M89" i="5"/>
  <c r="P89" i="5" s="1"/>
  <c r="F95" i="7"/>
  <c r="E91" i="7"/>
  <c r="F98" i="7"/>
  <c r="G94" i="7"/>
  <c r="N89" i="7"/>
  <c r="O89" i="7" s="1"/>
  <c r="M89" i="7"/>
  <c r="P89" i="7" s="1"/>
  <c r="J91" i="7"/>
  <c r="K91" i="7"/>
  <c r="L91" i="7"/>
  <c r="J48" i="5" l="1"/>
  <c r="L48" i="5"/>
  <c r="K48" i="5"/>
  <c r="N91" i="7"/>
  <c r="O91" i="7" s="1"/>
  <c r="M91" i="7"/>
  <c r="J91" i="5"/>
  <c r="L91" i="5"/>
  <c r="K91" i="5"/>
  <c r="D48" i="5"/>
  <c r="F102" i="7"/>
  <c r="G102" i="7" s="1"/>
  <c r="G98" i="7"/>
  <c r="F99" i="7"/>
  <c r="G95" i="7"/>
  <c r="N47" i="5"/>
  <c r="O47" i="5" s="1"/>
  <c r="M47" i="5"/>
  <c r="P47" i="5" s="1"/>
  <c r="E91" i="5"/>
  <c r="F95" i="5"/>
  <c r="F99" i="5" s="1"/>
  <c r="F103" i="5" s="1"/>
  <c r="N46" i="5"/>
  <c r="O46" i="5" s="1"/>
  <c r="M46" i="5"/>
  <c r="P46" i="5" s="1"/>
  <c r="F103" i="7" l="1"/>
  <c r="G103" i="7" s="1"/>
  <c r="G99" i="7"/>
  <c r="N91" i="5"/>
  <c r="O91" i="5" s="1"/>
  <c r="M91" i="5"/>
  <c r="M92" i="7"/>
  <c r="P91" i="7"/>
  <c r="E48" i="5"/>
  <c r="G49" i="5" s="1"/>
  <c r="I49" i="5" s="1"/>
  <c r="F52" i="5"/>
  <c r="F56" i="5" s="1"/>
  <c r="F60" i="5" s="1"/>
  <c r="D49" i="5"/>
  <c r="N48" i="5"/>
  <c r="O48" i="5" s="1"/>
  <c r="M48" i="5"/>
  <c r="P48" i="5" s="1"/>
  <c r="J49" i="5" l="1"/>
  <c r="K49" i="5"/>
  <c r="L49" i="5"/>
  <c r="G51" i="5"/>
  <c r="E49" i="5"/>
  <c r="G100" i="5" s="1"/>
  <c r="G94" i="5"/>
  <c r="G58" i="5"/>
  <c r="G60" i="5"/>
  <c r="F53" i="5"/>
  <c r="F57" i="5" s="1"/>
  <c r="F61" i="5" s="1"/>
  <c r="G57" i="5"/>
  <c r="M92" i="5"/>
  <c r="P91" i="5"/>
  <c r="G61" i="5" l="1"/>
  <c r="G96" i="5"/>
  <c r="G92" i="5"/>
  <c r="G102" i="5"/>
  <c r="G95" i="5"/>
  <c r="G56" i="5"/>
  <c r="G55" i="5"/>
  <c r="G59" i="5"/>
  <c r="G52" i="5"/>
  <c r="G54" i="5"/>
  <c r="G93" i="5"/>
  <c r="G50" i="5"/>
  <c r="G101" i="5"/>
  <c r="G97" i="5"/>
  <c r="G103" i="5"/>
  <c r="G98" i="5"/>
  <c r="G99" i="5"/>
  <c r="G53" i="5"/>
  <c r="N49" i="5"/>
  <c r="O49" i="5" s="1"/>
  <c r="M49" i="5"/>
  <c r="P49" i="5" l="1"/>
  <c r="M50" i="5"/>
</calcChain>
</file>

<file path=xl/comments1.xml><?xml version="1.0" encoding="utf-8"?>
<comments xmlns="http://schemas.openxmlformats.org/spreadsheetml/2006/main">
  <authors>
    <author xml:space="preserve"> </author>
  </authors>
  <commentList>
    <comment ref="F54" authorId="0">
      <text>
        <r>
          <rPr>
            <b/>
            <sz val="8"/>
            <color indexed="81"/>
            <rFont val="Tahoma"/>
            <family val="2"/>
          </rPr>
          <t xml:space="preserve">previous period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6" authorId="0">
      <text>
        <r>
          <rPr>
            <b/>
            <sz val="8"/>
            <color indexed="81"/>
            <rFont val="Tahoma"/>
            <family val="2"/>
          </rPr>
          <t xml:space="preserve">previous period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F54" authorId="0">
      <text>
        <r>
          <rPr>
            <b/>
            <sz val="8"/>
            <color indexed="81"/>
            <rFont val="Tahoma"/>
            <family val="2"/>
          </rPr>
          <t xml:space="preserve">previous period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6" authorId="0">
      <text>
        <r>
          <rPr>
            <b/>
            <sz val="8"/>
            <color indexed="81"/>
            <rFont val="Tahoma"/>
            <family val="2"/>
          </rPr>
          <t xml:space="preserve">previous period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<sst xmlns="http://schemas.openxmlformats.org/spreadsheetml/2006/main" count="800" uniqueCount="69">
  <si>
    <t>Total</t>
  </si>
  <si>
    <t>Year</t>
  </si>
  <si>
    <t>Quarter</t>
  </si>
  <si>
    <t>IV</t>
  </si>
  <si>
    <t xml:space="preserve">I </t>
  </si>
  <si>
    <t>III</t>
  </si>
  <si>
    <t>period</t>
  </si>
  <si>
    <r>
      <t>Demand D</t>
    </r>
    <r>
      <rPr>
        <vertAlign val="subscript"/>
        <sz val="10"/>
        <rFont val="Arial"/>
        <family val="2"/>
      </rPr>
      <t>t</t>
    </r>
  </si>
  <si>
    <r>
      <t>Seasonal Factor S</t>
    </r>
    <r>
      <rPr>
        <vertAlign val="subscript"/>
        <sz val="10"/>
        <rFont val="Arial"/>
        <family val="2"/>
      </rPr>
      <t>t</t>
    </r>
  </si>
  <si>
    <t>Forecast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</si>
  <si>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</si>
  <si>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</si>
  <si>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</si>
  <si>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</si>
  <si>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</si>
  <si>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</si>
  <si>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</si>
  <si>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</si>
  <si>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</si>
  <si>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</si>
  <si>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</si>
  <si>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</si>
  <si>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</si>
  <si>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</si>
  <si>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</si>
  <si>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</si>
  <si>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</si>
  <si>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</si>
  <si>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</si>
  <si>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</si>
  <si>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</si>
  <si>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</si>
  <si>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</si>
  <si>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</si>
  <si>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(even)</t>
  </si>
  <si>
    <t>Average of Seasonal Factor St</t>
  </si>
  <si>
    <r>
      <t>Deseasonalized Demand D</t>
    </r>
    <r>
      <rPr>
        <vertAlign val="subscript"/>
        <sz val="10"/>
        <rFont val="Arial"/>
        <family val="2"/>
      </rPr>
      <t>t</t>
    </r>
  </si>
  <si>
    <r>
      <t xml:space="preserve"> D</t>
    </r>
    <r>
      <rPr>
        <vertAlign val="subscript"/>
        <sz val="10"/>
        <rFont val="Arial"/>
        <family val="2"/>
      </rPr>
      <t xml:space="preserve">t </t>
    </r>
    <r>
      <rPr>
        <sz val="10"/>
        <rFont val="Arial"/>
        <family val="2"/>
      </rPr>
      <t>(based on regression)</t>
    </r>
  </si>
  <si>
    <r>
      <t>E</t>
    </r>
    <r>
      <rPr>
        <vertAlign val="subscript"/>
        <sz val="10"/>
        <rFont val="Arial"/>
        <family val="2"/>
      </rPr>
      <t>t</t>
    </r>
  </si>
  <si>
    <r>
      <t>A</t>
    </r>
    <r>
      <rPr>
        <vertAlign val="subscript"/>
        <sz val="10"/>
        <rFont val="Arial"/>
        <family val="2"/>
      </rPr>
      <t>t</t>
    </r>
  </si>
  <si>
    <t>MSE</t>
  </si>
  <si>
    <t>MAD</t>
  </si>
  <si>
    <t>MAPE</t>
  </si>
  <si>
    <t>bias</t>
  </si>
  <si>
    <t>TS</t>
  </si>
  <si>
    <t>Percent Error</t>
  </si>
  <si>
    <t>Level</t>
  </si>
  <si>
    <t>Trend</t>
  </si>
  <si>
    <t xml:space="preserve">II </t>
  </si>
  <si>
    <t>Black Plastic Demand ('000 lbs)</t>
  </si>
  <si>
    <t>Clear Plastic Demand ('000 lbs)</t>
  </si>
  <si>
    <t>p = 4</t>
  </si>
  <si>
    <t>Clear Plastics</t>
  </si>
  <si>
    <t>Black Plastics</t>
  </si>
  <si>
    <t>=</t>
  </si>
  <si>
    <t>a1</t>
  </si>
  <si>
    <t>b2</t>
  </si>
  <si>
    <t>b1</t>
  </si>
  <si>
    <t>g1</t>
  </si>
  <si>
    <t>a2</t>
  </si>
  <si>
    <t>g2</t>
  </si>
  <si>
    <t>Solver solution for minimizing MAD(20)</t>
  </si>
  <si>
    <t>Estimate of standard deviation of forecast error:</t>
  </si>
  <si>
    <t>Seasonal Factors</t>
  </si>
  <si>
    <t>I</t>
  </si>
  <si>
    <t>II</t>
  </si>
  <si>
    <t>Seasonal Factor</t>
  </si>
  <si>
    <t>SPC</t>
  </si>
  <si>
    <t>Deseasonalized Demand Regression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</si>
</sst>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0"/>
      <name val="Arial"/>
    </font>
    <font>
      <b/>
      <sz val="10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b/>
      <sz val="12"/>
      <name val="Symbol"/>
      <family val="1"/>
      <charset val="2"/>
    </font>
    <font>
      <sz val="8"/>
      <color indexed="81"/>
      <name val="Tahom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CC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Continuous"/>
    </xf>
    <xf numFmtId="0" fontId="1" fillId="0" borderId="0" xfId="0" applyFont="1"/>
    <xf numFmtId="0" fontId="5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pivotButton="1" applyBorder="1"/>
    <xf numFmtId="0" fontId="0" fillId="0" borderId="6" xfId="0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Border="1"/>
    <xf numFmtId="164" fontId="0" fillId="0" borderId="4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/>
    <xf numFmtId="0" fontId="1" fillId="0" borderId="13" xfId="0" applyFont="1" applyBorder="1" applyAlignment="1">
      <alignment horizontal="center" wrapText="1"/>
    </xf>
    <xf numFmtId="2" fontId="0" fillId="0" borderId="0" xfId="0" applyNumberFormat="1"/>
    <xf numFmtId="2" fontId="3" fillId="0" borderId="13" xfId="0" applyNumberFormat="1" applyFont="1" applyBorder="1" applyAlignment="1">
      <alignment horizontal="center" wrapText="1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 applyAlignment="1">
      <alignment horizontal="center" wrapText="1"/>
    </xf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2" fontId="0" fillId="0" borderId="0" xfId="0" applyNumberFormat="1" applyFill="1" applyBorder="1"/>
    <xf numFmtId="0" fontId="3" fillId="0" borderId="12" xfId="0" applyFont="1" applyBorder="1" applyAlignment="1">
      <alignment horizontal="center"/>
    </xf>
    <xf numFmtId="0" fontId="7" fillId="0" borderId="0" xfId="0" applyFont="1" applyAlignment="1">
      <alignment horizontal="left"/>
    </xf>
    <xf numFmtId="1" fontId="3" fillId="0" borderId="12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1" fillId="0" borderId="0" xfId="0" applyNumberFormat="1" applyFont="1" applyBorder="1" applyAlignment="1">
      <alignment horizontal="left"/>
    </xf>
    <xf numFmtId="1" fontId="0" fillId="2" borderId="20" xfId="0" applyNumberFormat="1" applyFill="1" applyBorder="1" applyAlignment="1">
      <alignment horizontal="center"/>
    </xf>
    <xf numFmtId="1" fontId="0" fillId="2" borderId="21" xfId="0" applyNumberFormat="1" applyFill="1" applyBorder="1" applyAlignment="1">
      <alignment horizontal="center"/>
    </xf>
    <xf numFmtId="1" fontId="0" fillId="2" borderId="22" xfId="0" applyNumberFormat="1" applyFill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0" fillId="0" borderId="23" xfId="0" applyBorder="1"/>
    <xf numFmtId="1" fontId="10" fillId="0" borderId="0" xfId="0" applyNumberFormat="1" applyFont="1" applyFill="1" applyBorder="1" applyAlignment="1">
      <alignment horizontal="right"/>
    </xf>
    <xf numFmtId="1" fontId="0" fillId="0" borderId="23" xfId="0" applyNumberForma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13" xfId="0" applyFont="1" applyFill="1" applyBorder="1" applyAlignment="1">
      <alignment horizontal="center" wrapText="1"/>
    </xf>
    <xf numFmtId="0" fontId="0" fillId="3" borderId="0" xfId="0" applyFill="1" applyBorder="1" applyAlignment="1"/>
    <xf numFmtId="0" fontId="0" fillId="3" borderId="1" xfId="0" applyFill="1" applyBorder="1" applyAlignment="1"/>
    <xf numFmtId="2" fontId="0" fillId="3" borderId="19" xfId="0" applyNumberFormat="1" applyFill="1" applyBorder="1" applyAlignment="1">
      <alignment horizontal="center"/>
    </xf>
    <xf numFmtId="0" fontId="0" fillId="0" borderId="3" xfId="0" pivotButton="1" applyBorder="1"/>
    <xf numFmtId="0" fontId="0" fillId="0" borderId="5" xfId="0" applyBorder="1"/>
    <xf numFmtId="164" fontId="0" fillId="0" borderId="12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13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</cellXfs>
  <cellStyles count="1">
    <cellStyle name="Normal" xfId="0" builtinId="0"/>
  </cellStyles>
  <dxfs count="42">
    <dxf>
      <alignment horizontal="center" readingOrder="0"/>
    </dxf>
    <dxf>
      <numFmt numFmtId="164" formatCode="0.000"/>
    </dxf>
    <dxf>
      <numFmt numFmtId="165" formatCode="0.0000"/>
    </dxf>
    <dxf>
      <numFmt numFmtId="166" formatCode="0.00000"/>
    </dxf>
    <dxf>
      <numFmt numFmtId="167" formatCode="0.000000"/>
    </dxf>
    <dxf>
      <numFmt numFmtId="168" formatCode="0.0000000"/>
    </dxf>
    <dxf>
      <numFmt numFmtId="169" formatCode="0.00000000"/>
    </dxf>
    <dxf>
      <alignment horizontal="center" readingOrder="0"/>
    </dxf>
    <dxf>
      <numFmt numFmtId="164" formatCode="0.000"/>
    </dxf>
    <dxf>
      <numFmt numFmtId="165" formatCode="0.0000"/>
    </dxf>
    <dxf>
      <numFmt numFmtId="166" formatCode="0.00000"/>
    </dxf>
    <dxf>
      <numFmt numFmtId="167" formatCode="0.000000"/>
    </dxf>
    <dxf>
      <numFmt numFmtId="168" formatCode="0.0000000"/>
    </dxf>
    <dxf>
      <numFmt numFmtId="169" formatCode="0.00000000"/>
    </dxf>
    <dxf>
      <alignment horizontal="center" readingOrder="0"/>
    </dxf>
    <dxf>
      <numFmt numFmtId="164" formatCode="0.000"/>
    </dxf>
    <dxf>
      <numFmt numFmtId="165" formatCode="0.0000"/>
    </dxf>
    <dxf>
      <numFmt numFmtId="166" formatCode="0.00000"/>
    </dxf>
    <dxf>
      <numFmt numFmtId="167" formatCode="0.000000"/>
    </dxf>
    <dxf>
      <numFmt numFmtId="168" formatCode="0.0000000"/>
    </dxf>
    <dxf>
      <numFmt numFmtId="169" formatCode="0.00000000"/>
    </dxf>
    <dxf>
      <alignment horizontal="center" readingOrder="0"/>
    </dxf>
    <dxf>
      <numFmt numFmtId="164" formatCode="0.000"/>
    </dxf>
    <dxf>
      <numFmt numFmtId="165" formatCode="0.0000"/>
    </dxf>
    <dxf>
      <numFmt numFmtId="166" formatCode="0.00000"/>
    </dxf>
    <dxf>
      <numFmt numFmtId="167" formatCode="0.000000"/>
    </dxf>
    <dxf>
      <numFmt numFmtId="168" formatCode="0.0000000"/>
    </dxf>
    <dxf>
      <numFmt numFmtId="169" formatCode="0.00000000"/>
    </dxf>
    <dxf>
      <alignment horizontal="center" readingOrder="0"/>
    </dxf>
    <dxf>
      <numFmt numFmtId="164" formatCode="0.000"/>
    </dxf>
    <dxf>
      <numFmt numFmtId="165" formatCode="0.0000"/>
    </dxf>
    <dxf>
      <numFmt numFmtId="166" formatCode="0.00000"/>
    </dxf>
    <dxf>
      <numFmt numFmtId="167" formatCode="0.000000"/>
    </dxf>
    <dxf>
      <numFmt numFmtId="168" formatCode="0.0000000"/>
    </dxf>
    <dxf>
      <numFmt numFmtId="169" formatCode="0.00000000"/>
    </dxf>
    <dxf>
      <alignment horizontal="center" readingOrder="0"/>
    </dxf>
    <dxf>
      <numFmt numFmtId="164" formatCode="0.000"/>
    </dxf>
    <dxf>
      <numFmt numFmtId="165" formatCode="0.0000"/>
    </dxf>
    <dxf>
      <numFmt numFmtId="166" formatCode="0.00000"/>
    </dxf>
    <dxf>
      <numFmt numFmtId="167" formatCode="0.000000"/>
    </dxf>
    <dxf>
      <numFmt numFmtId="168" formatCode="0.0000000"/>
    </dxf>
    <dxf>
      <numFmt numFmtId="169" formatCode="0.00000000"/>
    </dxf>
  </dxfs>
  <tableStyles count="0" defaultTableStyle="TableStyleMedium9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Quarterly Historical Demand for Clear and Black Plastic Containers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2005 - 2009</a:t>
            </a:r>
            <a:endParaRPr lang="en-US"/>
          </a:p>
        </c:rich>
      </c:tx>
      <c:layout>
        <c:manualLayout>
          <c:xMode val="edge"/>
          <c:yMode val="edge"/>
          <c:x val="0.22253129346314326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17385257301808"/>
          <c:y val="0.13752945059697924"/>
          <c:w val="0.84144645340751045"/>
          <c:h val="0.68298523771042241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 Static Forecast'!$D$4:$D$24</c:f>
              <c:numCache>
                <c:formatCode>General</c:formatCode>
                <c:ptCount val="21"/>
              </c:numCache>
            </c:numRef>
          </c:val>
          <c:smooth val="0"/>
        </c:ser>
        <c:ser>
          <c:idx val="3"/>
          <c:order val="1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 Static Forecast'!$F$4:$F$24</c:f>
              <c:numCache>
                <c:formatCode>General</c:formatCode>
                <c:ptCount val="21"/>
              </c:numCache>
            </c:numRef>
          </c:val>
          <c:smooth val="0"/>
        </c:ser>
        <c:ser>
          <c:idx val="0"/>
          <c:order val="2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 Static Forecast'!$C$5:$C$24</c:f>
              <c:numCache>
                <c:formatCode>General</c:formatCode>
                <c:ptCount val="20"/>
                <c:pt idx="0">
                  <c:v>2250</c:v>
                </c:pt>
                <c:pt idx="1">
                  <c:v>1737</c:v>
                </c:pt>
                <c:pt idx="2">
                  <c:v>2412</c:v>
                </c:pt>
                <c:pt idx="3">
                  <c:v>7269</c:v>
                </c:pt>
                <c:pt idx="4">
                  <c:v>3514</c:v>
                </c:pt>
                <c:pt idx="5">
                  <c:v>2143</c:v>
                </c:pt>
                <c:pt idx="6">
                  <c:v>3459</c:v>
                </c:pt>
                <c:pt idx="7">
                  <c:v>7056</c:v>
                </c:pt>
                <c:pt idx="8">
                  <c:v>4120</c:v>
                </c:pt>
                <c:pt idx="9">
                  <c:v>2766</c:v>
                </c:pt>
                <c:pt idx="10">
                  <c:v>2556</c:v>
                </c:pt>
                <c:pt idx="11">
                  <c:v>8253</c:v>
                </c:pt>
                <c:pt idx="12">
                  <c:v>5491</c:v>
                </c:pt>
                <c:pt idx="13">
                  <c:v>4382</c:v>
                </c:pt>
                <c:pt idx="14">
                  <c:v>4315</c:v>
                </c:pt>
                <c:pt idx="15">
                  <c:v>12035</c:v>
                </c:pt>
                <c:pt idx="16">
                  <c:v>5648</c:v>
                </c:pt>
                <c:pt idx="17">
                  <c:v>3696</c:v>
                </c:pt>
                <c:pt idx="18">
                  <c:v>4843</c:v>
                </c:pt>
                <c:pt idx="19">
                  <c:v>13097</c:v>
                </c:pt>
              </c:numCache>
            </c:numRef>
          </c:val>
          <c:smooth val="0"/>
        </c:ser>
        <c:ser>
          <c:idx val="2"/>
          <c:order val="3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 Static Forecast'!$D$5:$D$24</c:f>
              <c:numCache>
                <c:formatCode>General</c:formatCode>
                <c:ptCount val="20"/>
              </c:numCache>
            </c:numRef>
          </c:val>
          <c:smooth val="0"/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 Static Forecast'!$E$5:$E$24</c:f>
              <c:numCache>
                <c:formatCode>General</c:formatCode>
                <c:ptCount val="20"/>
                <c:pt idx="0">
                  <c:v>3200</c:v>
                </c:pt>
                <c:pt idx="1">
                  <c:v>7658</c:v>
                </c:pt>
                <c:pt idx="2">
                  <c:v>4420</c:v>
                </c:pt>
                <c:pt idx="3">
                  <c:v>2384</c:v>
                </c:pt>
                <c:pt idx="4">
                  <c:v>3654</c:v>
                </c:pt>
                <c:pt idx="5">
                  <c:v>8680</c:v>
                </c:pt>
                <c:pt idx="6">
                  <c:v>5695</c:v>
                </c:pt>
                <c:pt idx="7">
                  <c:v>1953</c:v>
                </c:pt>
                <c:pt idx="8">
                  <c:v>4742</c:v>
                </c:pt>
                <c:pt idx="9">
                  <c:v>13673</c:v>
                </c:pt>
                <c:pt idx="10">
                  <c:v>6640</c:v>
                </c:pt>
                <c:pt idx="11">
                  <c:v>2737</c:v>
                </c:pt>
                <c:pt idx="12">
                  <c:v>3486</c:v>
                </c:pt>
                <c:pt idx="13">
                  <c:v>13186</c:v>
                </c:pt>
                <c:pt idx="14">
                  <c:v>5448</c:v>
                </c:pt>
                <c:pt idx="15">
                  <c:v>3485</c:v>
                </c:pt>
                <c:pt idx="16">
                  <c:v>7728</c:v>
                </c:pt>
                <c:pt idx="17">
                  <c:v>16591</c:v>
                </c:pt>
                <c:pt idx="18">
                  <c:v>8236</c:v>
                </c:pt>
                <c:pt idx="19">
                  <c:v>3316</c:v>
                </c:pt>
              </c:numCache>
            </c:numRef>
          </c:val>
          <c:smooth val="0"/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 Static Forecast'!$F$5:$F$24</c:f>
              <c:numCache>
                <c:formatCode>General</c:formatCode>
                <c:ptCount val="2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39520"/>
        <c:axId val="356333440"/>
      </c:lineChart>
      <c:catAx>
        <c:axId val="35413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Quarter</a:t>
                </a:r>
              </a:p>
            </c:rich>
          </c:tx>
          <c:layout>
            <c:manualLayout>
              <c:xMode val="edge"/>
              <c:yMode val="edge"/>
              <c:x val="0.50486787204450623"/>
              <c:y val="0.90209985989513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33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633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('000 lbs)</a:t>
                </a:r>
              </a:p>
            </c:rich>
          </c:tx>
          <c:layout>
            <c:manualLayout>
              <c:xMode val="edge"/>
              <c:yMode val="edge"/>
              <c:x val="1.1126564673157162E-2"/>
              <c:y val="0.400933379831017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139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Quarterly Historical Demand for Clear and Black Plastic containers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2005 - 2009</a:t>
            </a:r>
            <a:endParaRPr lang="en-US"/>
          </a:p>
        </c:rich>
      </c:tx>
      <c:layout>
        <c:manualLayout>
          <c:xMode val="edge"/>
          <c:yMode val="edge"/>
          <c:x val="0.20790629575402636"/>
          <c:y val="3.03738317757009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45095168374817"/>
          <c:y val="0.13551401869158877"/>
          <c:w val="0.84187408491947291"/>
          <c:h val="0.7009345794392523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 Static Forecast'!$D$4:$D$24</c:f>
              <c:numCache>
                <c:formatCode>General</c:formatCode>
                <c:ptCount val="21"/>
              </c:numCache>
            </c:numRef>
          </c:val>
          <c:smooth val="0"/>
        </c:ser>
        <c:ser>
          <c:idx val="3"/>
          <c:order val="1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 Static Forecast'!$F$4:$F$24</c:f>
              <c:numCache>
                <c:formatCode>General</c:formatCode>
                <c:ptCount val="21"/>
              </c:numCache>
            </c:numRef>
          </c:val>
          <c:smooth val="0"/>
        </c:ser>
        <c:ser>
          <c:idx val="0"/>
          <c:order val="2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 Static Forecast'!$C$5:$C$24</c:f>
              <c:numCache>
                <c:formatCode>General</c:formatCode>
                <c:ptCount val="20"/>
                <c:pt idx="0">
                  <c:v>2250</c:v>
                </c:pt>
                <c:pt idx="1">
                  <c:v>1737</c:v>
                </c:pt>
                <c:pt idx="2">
                  <c:v>2412</c:v>
                </c:pt>
                <c:pt idx="3">
                  <c:v>7269</c:v>
                </c:pt>
                <c:pt idx="4">
                  <c:v>3514</c:v>
                </c:pt>
                <c:pt idx="5">
                  <c:v>2143</c:v>
                </c:pt>
                <c:pt idx="6">
                  <c:v>3459</c:v>
                </c:pt>
                <c:pt idx="7">
                  <c:v>7056</c:v>
                </c:pt>
                <c:pt idx="8">
                  <c:v>4120</c:v>
                </c:pt>
                <c:pt idx="9">
                  <c:v>2766</c:v>
                </c:pt>
                <c:pt idx="10">
                  <c:v>2556</c:v>
                </c:pt>
                <c:pt idx="11">
                  <c:v>8253</c:v>
                </c:pt>
                <c:pt idx="12">
                  <c:v>5491</c:v>
                </c:pt>
                <c:pt idx="13">
                  <c:v>4382</c:v>
                </c:pt>
                <c:pt idx="14">
                  <c:v>4315</c:v>
                </c:pt>
                <c:pt idx="15">
                  <c:v>12035</c:v>
                </c:pt>
                <c:pt idx="16">
                  <c:v>5648</c:v>
                </c:pt>
                <c:pt idx="17">
                  <c:v>3696</c:v>
                </c:pt>
                <c:pt idx="18">
                  <c:v>4843</c:v>
                </c:pt>
                <c:pt idx="19">
                  <c:v>13097</c:v>
                </c:pt>
              </c:numCache>
            </c:numRef>
          </c:val>
          <c:smooth val="0"/>
        </c:ser>
        <c:ser>
          <c:idx val="2"/>
          <c:order val="3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 Static Forecast'!$D$5:$D$24</c:f>
              <c:numCache>
                <c:formatCode>General</c:formatCode>
                <c:ptCount val="20"/>
              </c:numCache>
            </c:numRef>
          </c:val>
          <c:smooth val="0"/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 Static Forecast'!$E$5:$E$24</c:f>
              <c:numCache>
                <c:formatCode>General</c:formatCode>
                <c:ptCount val="20"/>
                <c:pt idx="0">
                  <c:v>3200</c:v>
                </c:pt>
                <c:pt idx="1">
                  <c:v>7658</c:v>
                </c:pt>
                <c:pt idx="2">
                  <c:v>4420</c:v>
                </c:pt>
                <c:pt idx="3">
                  <c:v>2384</c:v>
                </c:pt>
                <c:pt idx="4">
                  <c:v>3654</c:v>
                </c:pt>
                <c:pt idx="5">
                  <c:v>8680</c:v>
                </c:pt>
                <c:pt idx="6">
                  <c:v>5695</c:v>
                </c:pt>
                <c:pt idx="7">
                  <c:v>1953</c:v>
                </c:pt>
                <c:pt idx="8">
                  <c:v>4742</c:v>
                </c:pt>
                <c:pt idx="9">
                  <c:v>13673</c:v>
                </c:pt>
                <c:pt idx="10">
                  <c:v>6640</c:v>
                </c:pt>
                <c:pt idx="11">
                  <c:v>2737</c:v>
                </c:pt>
                <c:pt idx="12">
                  <c:v>3486</c:v>
                </c:pt>
                <c:pt idx="13">
                  <c:v>13186</c:v>
                </c:pt>
                <c:pt idx="14">
                  <c:v>5448</c:v>
                </c:pt>
                <c:pt idx="15">
                  <c:v>3485</c:v>
                </c:pt>
                <c:pt idx="16">
                  <c:v>7728</c:v>
                </c:pt>
                <c:pt idx="17">
                  <c:v>16591</c:v>
                </c:pt>
                <c:pt idx="18">
                  <c:v>8236</c:v>
                </c:pt>
                <c:pt idx="19">
                  <c:v>3316</c:v>
                </c:pt>
              </c:numCache>
            </c:numRef>
          </c:val>
          <c:smooth val="0"/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 Static Forecast'!$F$5:$F$24</c:f>
              <c:numCache>
                <c:formatCode>General</c:formatCode>
                <c:ptCount val="2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427456"/>
        <c:axId val="357442304"/>
      </c:lineChart>
      <c:catAx>
        <c:axId val="35742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Quarter</a:t>
                </a:r>
              </a:p>
            </c:rich>
          </c:tx>
          <c:layout>
            <c:manualLayout>
              <c:xMode val="edge"/>
              <c:yMode val="edge"/>
              <c:x val="0.50219619326500731"/>
              <c:y val="0.911214953271028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744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7442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('000 lbs)</a:t>
                </a:r>
              </a:p>
            </c:rich>
          </c:tx>
          <c:layout>
            <c:manualLayout>
              <c:xMode val="edge"/>
              <c:yMode val="edge"/>
              <c:x val="1.3177159590043924E-2"/>
              <c:y val="0.408878504672897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7427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Quarterly Historical Demand for Clear and Black Plastic Containers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2005 - 2009)</a:t>
            </a:r>
            <a:endParaRPr lang="en-US"/>
          </a:p>
        </c:rich>
      </c:tx>
      <c:layout>
        <c:manualLayout>
          <c:xMode val="edge"/>
          <c:yMode val="edge"/>
          <c:x val="0.36091808760344457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586947538270502E-2"/>
          <c:y val="0.13752945059697924"/>
          <c:w val="0.91516025511515531"/>
          <c:h val="0.68298523771042241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 Static Forecast (Formulas)'!$D$4:$D$24</c:f>
              <c:numCache>
                <c:formatCode>General</c:formatCode>
                <c:ptCount val="21"/>
              </c:numCache>
            </c:numRef>
          </c:val>
          <c:smooth val="0"/>
        </c:ser>
        <c:ser>
          <c:idx val="3"/>
          <c:order val="1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 Static Forecast (Formulas)'!$F$4:$F$24</c:f>
              <c:numCache>
                <c:formatCode>General</c:formatCode>
                <c:ptCount val="21"/>
              </c:numCache>
            </c:numRef>
          </c:val>
          <c:smooth val="0"/>
        </c:ser>
        <c:ser>
          <c:idx val="0"/>
          <c:order val="2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 Static Forecast (Formulas)'!$C$5:$C$24</c:f>
              <c:numCache>
                <c:formatCode>General</c:formatCode>
                <c:ptCount val="20"/>
                <c:pt idx="0">
                  <c:v>2250</c:v>
                </c:pt>
                <c:pt idx="1">
                  <c:v>1737</c:v>
                </c:pt>
                <c:pt idx="2">
                  <c:v>2412</c:v>
                </c:pt>
                <c:pt idx="3">
                  <c:v>7269</c:v>
                </c:pt>
                <c:pt idx="4">
                  <c:v>3514</c:v>
                </c:pt>
                <c:pt idx="5">
                  <c:v>2143</c:v>
                </c:pt>
                <c:pt idx="6">
                  <c:v>3459</c:v>
                </c:pt>
                <c:pt idx="7">
                  <c:v>7056</c:v>
                </c:pt>
                <c:pt idx="8">
                  <c:v>4120</c:v>
                </c:pt>
                <c:pt idx="9">
                  <c:v>2766</c:v>
                </c:pt>
                <c:pt idx="10">
                  <c:v>2556</c:v>
                </c:pt>
                <c:pt idx="11">
                  <c:v>8253</c:v>
                </c:pt>
                <c:pt idx="12">
                  <c:v>5491</c:v>
                </c:pt>
                <c:pt idx="13">
                  <c:v>4382</c:v>
                </c:pt>
                <c:pt idx="14">
                  <c:v>4315</c:v>
                </c:pt>
                <c:pt idx="15">
                  <c:v>12035</c:v>
                </c:pt>
                <c:pt idx="16">
                  <c:v>5648</c:v>
                </c:pt>
                <c:pt idx="17">
                  <c:v>3696</c:v>
                </c:pt>
                <c:pt idx="18">
                  <c:v>4843</c:v>
                </c:pt>
                <c:pt idx="19">
                  <c:v>13097</c:v>
                </c:pt>
              </c:numCache>
            </c:numRef>
          </c:val>
          <c:smooth val="0"/>
        </c:ser>
        <c:ser>
          <c:idx val="2"/>
          <c:order val="3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 Static Forecast (Formulas)'!$D$5:$D$24</c:f>
              <c:numCache>
                <c:formatCode>General</c:formatCode>
                <c:ptCount val="20"/>
              </c:numCache>
            </c:numRef>
          </c:val>
          <c:smooth val="0"/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 Static Forecast (Formulas)'!$E$5:$E$24</c:f>
              <c:numCache>
                <c:formatCode>General</c:formatCode>
                <c:ptCount val="20"/>
                <c:pt idx="0">
                  <c:v>3200</c:v>
                </c:pt>
                <c:pt idx="1">
                  <c:v>7658</c:v>
                </c:pt>
                <c:pt idx="2">
                  <c:v>4420</c:v>
                </c:pt>
                <c:pt idx="3">
                  <c:v>2384</c:v>
                </c:pt>
                <c:pt idx="4">
                  <c:v>3654</c:v>
                </c:pt>
                <c:pt idx="5">
                  <c:v>8680</c:v>
                </c:pt>
                <c:pt idx="6">
                  <c:v>5695</c:v>
                </c:pt>
                <c:pt idx="7">
                  <c:v>1953</c:v>
                </c:pt>
                <c:pt idx="8">
                  <c:v>4742</c:v>
                </c:pt>
                <c:pt idx="9">
                  <c:v>13673</c:v>
                </c:pt>
                <c:pt idx="10">
                  <c:v>6640</c:v>
                </c:pt>
                <c:pt idx="11">
                  <c:v>2737</c:v>
                </c:pt>
                <c:pt idx="12">
                  <c:v>3486</c:v>
                </c:pt>
                <c:pt idx="13">
                  <c:v>13186</c:v>
                </c:pt>
                <c:pt idx="14">
                  <c:v>5448</c:v>
                </c:pt>
                <c:pt idx="15">
                  <c:v>3485</c:v>
                </c:pt>
                <c:pt idx="16">
                  <c:v>7728</c:v>
                </c:pt>
                <c:pt idx="17">
                  <c:v>16591</c:v>
                </c:pt>
                <c:pt idx="18">
                  <c:v>8236</c:v>
                </c:pt>
                <c:pt idx="19">
                  <c:v>3316</c:v>
                </c:pt>
              </c:numCache>
            </c:numRef>
          </c:val>
          <c:smooth val="0"/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 Static Forecast (Formulas)'!$F$5:$F$24</c:f>
              <c:numCache>
                <c:formatCode>General</c:formatCode>
                <c:ptCount val="2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995648"/>
        <c:axId val="357997952"/>
      </c:lineChart>
      <c:catAx>
        <c:axId val="35799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Quarter</a:t>
                </a:r>
              </a:p>
            </c:rich>
          </c:tx>
          <c:layout>
            <c:manualLayout>
              <c:xMode val="edge"/>
              <c:yMode val="edge"/>
              <c:x val="0.5000001460179091"/>
              <c:y val="0.90209985989513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799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7997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('000 lbs)</a:t>
                </a:r>
              </a:p>
            </c:rich>
          </c:tx>
          <c:layout>
            <c:manualLayout>
              <c:xMode val="edge"/>
              <c:yMode val="edge"/>
              <c:x val="5.5632823365785811E-3"/>
              <c:y val="0.400933379831017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7995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Quarterly Historical Demand for Clear and Black Plastic Containers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2005 - 2009)</a:t>
            </a:r>
            <a:endParaRPr lang="en-US"/>
          </a:p>
        </c:rich>
      </c:tx>
      <c:layout>
        <c:manualLayout>
          <c:xMode val="edge"/>
          <c:yMode val="edge"/>
          <c:x val="0.36627638602275742"/>
          <c:y val="3.03738317757009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885821501325978E-2"/>
          <c:y val="0.13551401869158877"/>
          <c:w val="0.91068846608499454"/>
          <c:h val="0.68457943925233644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 Static Forecast'!$D$4:$D$24</c:f>
              <c:numCache>
                <c:formatCode>General</c:formatCode>
                <c:ptCount val="21"/>
              </c:numCache>
            </c:numRef>
          </c:val>
          <c:smooth val="0"/>
        </c:ser>
        <c:ser>
          <c:idx val="3"/>
          <c:order val="1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 Static Forecast'!$F$4:$F$24</c:f>
              <c:numCache>
                <c:formatCode>General</c:formatCode>
                <c:ptCount val="21"/>
              </c:numCache>
            </c:numRef>
          </c:val>
          <c:smooth val="0"/>
        </c:ser>
        <c:ser>
          <c:idx val="0"/>
          <c:order val="2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 Static Forecast'!$C$5:$C$24</c:f>
              <c:numCache>
                <c:formatCode>General</c:formatCode>
                <c:ptCount val="20"/>
                <c:pt idx="0">
                  <c:v>2250</c:v>
                </c:pt>
                <c:pt idx="1">
                  <c:v>1737</c:v>
                </c:pt>
                <c:pt idx="2">
                  <c:v>2412</c:v>
                </c:pt>
                <c:pt idx="3">
                  <c:v>7269</c:v>
                </c:pt>
                <c:pt idx="4">
                  <c:v>3514</c:v>
                </c:pt>
                <c:pt idx="5">
                  <c:v>2143</c:v>
                </c:pt>
                <c:pt idx="6">
                  <c:v>3459</c:v>
                </c:pt>
                <c:pt idx="7">
                  <c:v>7056</c:v>
                </c:pt>
                <c:pt idx="8">
                  <c:v>4120</c:v>
                </c:pt>
                <c:pt idx="9">
                  <c:v>2766</c:v>
                </c:pt>
                <c:pt idx="10">
                  <c:v>2556</c:v>
                </c:pt>
                <c:pt idx="11">
                  <c:v>8253</c:v>
                </c:pt>
                <c:pt idx="12">
                  <c:v>5491</c:v>
                </c:pt>
                <c:pt idx="13">
                  <c:v>4382</c:v>
                </c:pt>
                <c:pt idx="14">
                  <c:v>4315</c:v>
                </c:pt>
                <c:pt idx="15">
                  <c:v>12035</c:v>
                </c:pt>
                <c:pt idx="16">
                  <c:v>5648</c:v>
                </c:pt>
                <c:pt idx="17">
                  <c:v>3696</c:v>
                </c:pt>
                <c:pt idx="18">
                  <c:v>4843</c:v>
                </c:pt>
                <c:pt idx="19">
                  <c:v>13097</c:v>
                </c:pt>
              </c:numCache>
            </c:numRef>
          </c:val>
          <c:smooth val="0"/>
        </c:ser>
        <c:ser>
          <c:idx val="2"/>
          <c:order val="3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 Static Forecast'!$D$5:$D$24</c:f>
              <c:numCache>
                <c:formatCode>General</c:formatCode>
                <c:ptCount val="20"/>
              </c:numCache>
            </c:numRef>
          </c:val>
          <c:smooth val="0"/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 Static Forecast'!$E$5:$E$24</c:f>
              <c:numCache>
                <c:formatCode>General</c:formatCode>
                <c:ptCount val="20"/>
                <c:pt idx="0">
                  <c:v>3200</c:v>
                </c:pt>
                <c:pt idx="1">
                  <c:v>7658</c:v>
                </c:pt>
                <c:pt idx="2">
                  <c:v>4420</c:v>
                </c:pt>
                <c:pt idx="3">
                  <c:v>2384</c:v>
                </c:pt>
                <c:pt idx="4">
                  <c:v>3654</c:v>
                </c:pt>
                <c:pt idx="5">
                  <c:v>8680</c:v>
                </c:pt>
                <c:pt idx="6">
                  <c:v>5695</c:v>
                </c:pt>
                <c:pt idx="7">
                  <c:v>1953</c:v>
                </c:pt>
                <c:pt idx="8">
                  <c:v>4742</c:v>
                </c:pt>
                <c:pt idx="9">
                  <c:v>13673</c:v>
                </c:pt>
                <c:pt idx="10">
                  <c:v>6640</c:v>
                </c:pt>
                <c:pt idx="11">
                  <c:v>2737</c:v>
                </c:pt>
                <c:pt idx="12">
                  <c:v>3486</c:v>
                </c:pt>
                <c:pt idx="13">
                  <c:v>13186</c:v>
                </c:pt>
                <c:pt idx="14">
                  <c:v>5448</c:v>
                </c:pt>
                <c:pt idx="15">
                  <c:v>3485</c:v>
                </c:pt>
                <c:pt idx="16">
                  <c:v>7728</c:v>
                </c:pt>
                <c:pt idx="17">
                  <c:v>16591</c:v>
                </c:pt>
                <c:pt idx="18">
                  <c:v>8236</c:v>
                </c:pt>
                <c:pt idx="19">
                  <c:v>3316</c:v>
                </c:pt>
              </c:numCache>
            </c:numRef>
          </c:val>
          <c:smooth val="0"/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 Static Forecast'!$F$5:$F$24</c:f>
              <c:numCache>
                <c:formatCode>General</c:formatCode>
                <c:ptCount val="2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679104"/>
        <c:axId val="357681408"/>
      </c:lineChart>
      <c:catAx>
        <c:axId val="357679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Quarter</a:t>
                </a:r>
              </a:p>
            </c:rich>
          </c:tx>
          <c:layout>
            <c:manualLayout>
              <c:xMode val="edge"/>
              <c:yMode val="edge"/>
              <c:x val="0.50000015371431428"/>
              <c:y val="0.90186915887850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768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7681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('000 lbs)</a:t>
                </a:r>
              </a:p>
            </c:rich>
          </c:tx>
          <c:layout>
            <c:manualLayout>
              <c:xMode val="edge"/>
              <c:yMode val="edge"/>
              <c:x val="5.8565153733528552E-3"/>
              <c:y val="0.399532710280373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7679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800100</xdr:colOff>
      <xdr:row>1</xdr:row>
      <xdr:rowOff>152400</xdr:rowOff>
    </xdr:from>
    <xdr:to>
      <xdr:col>20</xdr:col>
      <xdr:colOff>304800</xdr:colOff>
      <xdr:row>24</xdr:row>
      <xdr:rowOff>152400</xdr:rowOff>
    </xdr:to>
    <xdr:graphicFrame macro="">
      <xdr:nvGraphicFramePr>
        <xdr:cNvPr id="1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</xdr:row>
      <xdr:rowOff>19050</xdr:rowOff>
    </xdr:from>
    <xdr:to>
      <xdr:col>22</xdr:col>
      <xdr:colOff>19050</xdr:colOff>
      <xdr:row>25</xdr:row>
      <xdr:rowOff>19050</xdr:rowOff>
    </xdr:to>
    <xdr:graphicFrame macro="">
      <xdr:nvGraphicFramePr>
        <xdr:cNvPr id="6169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800100</xdr:colOff>
      <xdr:row>1</xdr:row>
      <xdr:rowOff>152400</xdr:rowOff>
    </xdr:from>
    <xdr:to>
      <xdr:col>20</xdr:col>
      <xdr:colOff>304800</xdr:colOff>
      <xdr:row>24</xdr:row>
      <xdr:rowOff>152400</xdr:rowOff>
    </xdr:to>
    <xdr:graphicFrame macro="">
      <xdr:nvGraphicFramePr>
        <xdr:cNvPr id="71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</xdr:row>
      <xdr:rowOff>19050</xdr:rowOff>
    </xdr:from>
    <xdr:to>
      <xdr:col>22</xdr:col>
      <xdr:colOff>19050</xdr:colOff>
      <xdr:row>25</xdr:row>
      <xdr:rowOff>19050</xdr:rowOff>
    </xdr:to>
    <xdr:graphicFrame macro="">
      <xdr:nvGraphicFramePr>
        <xdr:cNvPr id="820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 " refreshedDate="36590.503819328704" createdVersion="1" recordCount="20" upgradeOnRefresh="1">
  <cacheSource type="worksheet">
    <worksheetSource ref="A28:F48" sheet=" Static Forecast"/>
  </cacheSource>
  <cacheFields count="6">
    <cacheField name="Quarter" numFmtId="0">
      <sharedItems count="4">
        <s v="I "/>
        <s v="II "/>
        <s v="III"/>
        <s v="IV"/>
      </sharedItems>
    </cacheField>
    <cacheField name="period" numFmtId="0">
      <sharedItems containsSemiMixedTypes="0" containsString="0" containsNumber="1" containsInteger="1" minValue="1" maxValue="20" count="2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</sharedItems>
    </cacheField>
    <cacheField name="Demand Dt" numFmtId="0">
      <sharedItems containsSemiMixedTypes="0" containsString="0" containsNumber="1" containsInteger="1" minValue="1737" maxValue="13097" count="20">
        <n v="2250"/>
        <n v="1737"/>
        <n v="2412"/>
        <n v="7269"/>
        <n v="3514"/>
        <n v="2143"/>
        <n v="3459"/>
        <n v="7056"/>
        <n v="4120"/>
        <n v="2766"/>
        <n v="2556"/>
        <n v="8253"/>
        <n v="5491"/>
        <n v="4382"/>
        <n v="4315"/>
        <n v="12035"/>
        <n v="5648"/>
        <n v="3696"/>
        <n v="4843"/>
        <n v="13097"/>
      </sharedItems>
    </cacheField>
    <cacheField name="Deseasonalized Demand Dt" numFmtId="0">
      <sharedItems containsString="0" containsBlank="1" containsNumber="1" minValue="4319.5" maxValue="9962.5" count="19">
        <m/>
        <n v="4453.5"/>
        <n v="4319.5"/>
        <n v="4830.125"/>
        <n v="5833.625"/>
        <n v="5148.75"/>
        <n v="4963.875"/>
        <n v="4876.375"/>
        <n v="6337.375"/>
        <n v="5967.875"/>
        <n v="6064"/>
        <n v="6469.125"/>
        <n v="9091.75"/>
        <n v="7987.375"/>
        <n v="7433.25"/>
        <n v="7700.25"/>
        <n v="9962.5"/>
        <n v="6115"/>
        <n v="4947"/>
      </sharedItems>
    </cacheField>
    <cacheField name=" Dt (based on regression)" numFmtId="0">
      <sharedItems containsSemiMixedTypes="0" containsString="0" containsNumber="1" minValue="4236.0090729274161" maxValue="7880.499269005848" count="20">
        <n v="4236.0090729274161"/>
        <n v="4427.8243464052284"/>
        <n v="4619.6396198830407"/>
        <n v="4811.454893360853"/>
        <n v="5003.2701668386653"/>
        <n v="5195.0854403164776"/>
        <n v="5386.9007137942899"/>
        <n v="5578.7159872721022"/>
        <n v="5770.5312607499145"/>
        <n v="5962.3465342277259"/>
        <n v="6154.1618077055382"/>
        <n v="6345.9770811833505"/>
        <n v="6537.7923546611628"/>
        <n v="6729.6076281389742"/>
        <n v="6921.4229016167865"/>
        <n v="7113.2381750945988"/>
        <n v="7305.0534485724111"/>
        <n v="7496.8687220502234"/>
        <n v="7688.6839955280357"/>
        <n v="7880.499269005848"/>
      </sharedItems>
    </cacheField>
    <cacheField name="Seasonal Factor St" numFmtId="0">
      <sharedItems containsSemiMixedTypes="0" containsString="0" containsNumber="1" minValue="0.39229198452964831" maxValue="1.6919157919016183" count="20">
        <n v="0.53116033541568231"/>
        <n v="0.39229198452964831"/>
        <n v="0.52211864960606313"/>
        <n v="1.5107696447555232"/>
        <n v="0.70234064578214328"/>
        <n v="0.41250524647183689"/>
        <n v="0.64211318971268661"/>
        <n v="1.2648071735679565"/>
        <n v="0.71397239072656571"/>
        <n v="0.4639113114478286"/>
        <n v="0.41532869623279467"/>
        <n v="1.3005089514853783"/>
        <n v="0.83988595876483518"/>
        <n v="0.65115237650368207"/>
        <n v="0.6234267232814299"/>
        <n v="1.6919157919016183"/>
        <n v="0.77316340527306604"/>
        <n v="0.49300583177201851"/>
        <n v="0.62988672740573437"/>
        <n v="1.661950538021207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 " refreshedDate="36590.55857951389" createdVersion="1" recordCount="20" upgradeOnRefresh="1">
  <cacheSource type="worksheet">
    <worksheetSource ref="A64:F84" sheet=" Static Forecast"/>
  </cacheSource>
  <cacheFields count="6">
    <cacheField name="Quarter" numFmtId="0">
      <sharedItems count="4">
        <s v="I "/>
        <s v="II "/>
        <s v="III"/>
        <s v="IV"/>
      </sharedItems>
    </cacheField>
    <cacheField name="period" numFmtId="0">
      <sharedItems containsSemiMixedTypes="0" containsString="0" containsNumber="1" containsInteger="1" minValue="1" maxValue="20" count="2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</sharedItems>
    </cacheField>
    <cacheField name="Demand Dt" numFmtId="0">
      <sharedItems containsSemiMixedTypes="0" containsString="0" containsNumber="1" containsInteger="1" minValue="1953" maxValue="16591" count="20">
        <n v="3200"/>
        <n v="7658"/>
        <n v="4420"/>
        <n v="2384"/>
        <n v="3654"/>
        <n v="8680"/>
        <n v="5695"/>
        <n v="1953"/>
        <n v="4742"/>
        <n v="13673"/>
        <n v="6640"/>
        <n v="2737"/>
        <n v="3486"/>
        <n v="13186"/>
        <n v="5448"/>
        <n v="3485"/>
        <n v="7728"/>
        <n v="16591"/>
        <n v="8236"/>
        <n v="3316"/>
      </sharedItems>
    </cacheField>
    <cacheField name="Deseasonalized Demand Dt" numFmtId="0">
      <sharedItems containsString="0" containsBlank="1" containsNumber="1" minValue="4472.25" maxValue="8988.875" count="17">
        <m/>
        <n v="4472.25"/>
        <n v="4656.75"/>
        <n v="4943.875"/>
        <n v="5049.375"/>
        <n v="5131.5"/>
        <n v="5891.625"/>
        <n v="6633.875"/>
        <n v="6850"/>
        <n v="6791"/>
        <n v="6573.125"/>
        <n v="6363.25"/>
        <n v="6307.75"/>
        <n v="6931.5"/>
        <n v="7887.375"/>
        <n v="8661.5"/>
        <n v="8988.875"/>
      </sharedItems>
    </cacheField>
    <cacheField name=" Dt (based on regression)" numFmtId="0">
      <sharedItems containsSemiMixedTypes="0" containsString="0" containsNumber="1" minValue="3875.9191176470631" maxValue="8890.7840073529387" count="20">
        <n v="3875.9191176470631"/>
        <n v="4139.8593750000036"/>
        <n v="4403.7996323529442"/>
        <n v="4667.7398897058856"/>
        <n v="4931.6801470588262"/>
        <n v="5195.6204044117676"/>
        <n v="5459.5606617647081"/>
        <n v="5723.5009191176487"/>
        <n v="5987.4411764705892"/>
        <n v="6251.3814338235297"/>
        <n v="6515.3216911764712"/>
        <n v="6779.2619485294126"/>
        <n v="7043.2022058823532"/>
        <n v="7307.1424632352937"/>
        <n v="7571.0827205882342"/>
        <n v="7835.0229779411748"/>
        <n v="8098.9632352941153"/>
        <n v="8362.9034926470576"/>
        <n v="8626.8437499999982"/>
        <n v="8890.7840073529387"/>
      </sharedItems>
    </cacheField>
    <cacheField name="Seasonal Factor St" numFmtId="0">
      <sharedItems containsSemiMixedTypes="0" containsString="0" containsNumber="1" minValue="0.34122472025409933" maxValue="2.1871965652297733" count="20">
        <n v="0.82561062366611249"/>
        <n v="1.8498212877098013"/>
        <n v="1.0036787249646959"/>
        <n v="0.51073968480069176"/>
        <n v="0.74092396324185505"/>
        <n v="1.6706378303983744"/>
        <n v="1.0431242279043"/>
        <n v="0.34122472025409933"/>
        <n v="0.79199107936710655"/>
        <n v="2.1871965652297733"/>
        <n v="1.0191361708190676"/>
        <n v="0.40373126466867415"/>
        <n v="0.49494532431406796"/>
        <n v="1.8045357766518482"/>
        <n v="0.71958003908544255"/>
        <n v="0.44479767446907487"/>
        <n v="0.95419620703085661"/>
        <n v="1.9838803609999036"/>
        <n v="0.95469446748702291"/>
        <n v="0.3729704823846323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x v="0"/>
    <x v="0"/>
    <x v="0"/>
    <x v="0"/>
    <x v="0"/>
  </r>
  <r>
    <x v="1"/>
    <x v="1"/>
    <x v="1"/>
    <x v="0"/>
    <x v="1"/>
    <x v="1"/>
  </r>
  <r>
    <x v="2"/>
    <x v="2"/>
    <x v="2"/>
    <x v="1"/>
    <x v="2"/>
    <x v="2"/>
  </r>
  <r>
    <x v="3"/>
    <x v="3"/>
    <x v="3"/>
    <x v="2"/>
    <x v="3"/>
    <x v="3"/>
  </r>
  <r>
    <x v="0"/>
    <x v="4"/>
    <x v="4"/>
    <x v="3"/>
    <x v="4"/>
    <x v="4"/>
  </r>
  <r>
    <x v="1"/>
    <x v="5"/>
    <x v="5"/>
    <x v="4"/>
    <x v="5"/>
    <x v="5"/>
  </r>
  <r>
    <x v="2"/>
    <x v="6"/>
    <x v="6"/>
    <x v="5"/>
    <x v="6"/>
    <x v="6"/>
  </r>
  <r>
    <x v="3"/>
    <x v="7"/>
    <x v="7"/>
    <x v="6"/>
    <x v="7"/>
    <x v="7"/>
  </r>
  <r>
    <x v="0"/>
    <x v="8"/>
    <x v="8"/>
    <x v="7"/>
    <x v="8"/>
    <x v="8"/>
  </r>
  <r>
    <x v="1"/>
    <x v="9"/>
    <x v="9"/>
    <x v="8"/>
    <x v="9"/>
    <x v="9"/>
  </r>
  <r>
    <x v="2"/>
    <x v="10"/>
    <x v="10"/>
    <x v="9"/>
    <x v="10"/>
    <x v="10"/>
  </r>
  <r>
    <x v="3"/>
    <x v="11"/>
    <x v="11"/>
    <x v="10"/>
    <x v="11"/>
    <x v="11"/>
  </r>
  <r>
    <x v="0"/>
    <x v="12"/>
    <x v="12"/>
    <x v="11"/>
    <x v="12"/>
    <x v="12"/>
  </r>
  <r>
    <x v="1"/>
    <x v="13"/>
    <x v="13"/>
    <x v="12"/>
    <x v="13"/>
    <x v="13"/>
  </r>
  <r>
    <x v="2"/>
    <x v="14"/>
    <x v="14"/>
    <x v="13"/>
    <x v="14"/>
    <x v="14"/>
  </r>
  <r>
    <x v="3"/>
    <x v="15"/>
    <x v="15"/>
    <x v="14"/>
    <x v="15"/>
    <x v="15"/>
  </r>
  <r>
    <x v="0"/>
    <x v="16"/>
    <x v="16"/>
    <x v="15"/>
    <x v="16"/>
    <x v="16"/>
  </r>
  <r>
    <x v="1"/>
    <x v="17"/>
    <x v="17"/>
    <x v="16"/>
    <x v="17"/>
    <x v="17"/>
  </r>
  <r>
    <x v="2"/>
    <x v="18"/>
    <x v="18"/>
    <x v="17"/>
    <x v="18"/>
    <x v="18"/>
  </r>
  <r>
    <x v="3"/>
    <x v="19"/>
    <x v="19"/>
    <x v="18"/>
    <x v="19"/>
    <x v="1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">
  <r>
    <x v="0"/>
    <x v="0"/>
    <x v="0"/>
    <x v="0"/>
    <x v="0"/>
    <x v="0"/>
  </r>
  <r>
    <x v="1"/>
    <x v="1"/>
    <x v="1"/>
    <x v="0"/>
    <x v="1"/>
    <x v="1"/>
  </r>
  <r>
    <x v="2"/>
    <x v="2"/>
    <x v="2"/>
    <x v="1"/>
    <x v="2"/>
    <x v="2"/>
  </r>
  <r>
    <x v="3"/>
    <x v="3"/>
    <x v="3"/>
    <x v="2"/>
    <x v="3"/>
    <x v="3"/>
  </r>
  <r>
    <x v="0"/>
    <x v="4"/>
    <x v="4"/>
    <x v="3"/>
    <x v="4"/>
    <x v="4"/>
  </r>
  <r>
    <x v="1"/>
    <x v="5"/>
    <x v="5"/>
    <x v="4"/>
    <x v="5"/>
    <x v="5"/>
  </r>
  <r>
    <x v="2"/>
    <x v="6"/>
    <x v="6"/>
    <x v="5"/>
    <x v="6"/>
    <x v="6"/>
  </r>
  <r>
    <x v="3"/>
    <x v="7"/>
    <x v="7"/>
    <x v="6"/>
    <x v="7"/>
    <x v="7"/>
  </r>
  <r>
    <x v="0"/>
    <x v="8"/>
    <x v="8"/>
    <x v="7"/>
    <x v="8"/>
    <x v="8"/>
  </r>
  <r>
    <x v="1"/>
    <x v="9"/>
    <x v="9"/>
    <x v="8"/>
    <x v="9"/>
    <x v="9"/>
  </r>
  <r>
    <x v="2"/>
    <x v="10"/>
    <x v="10"/>
    <x v="9"/>
    <x v="10"/>
    <x v="10"/>
  </r>
  <r>
    <x v="3"/>
    <x v="11"/>
    <x v="11"/>
    <x v="10"/>
    <x v="11"/>
    <x v="11"/>
  </r>
  <r>
    <x v="0"/>
    <x v="12"/>
    <x v="12"/>
    <x v="11"/>
    <x v="12"/>
    <x v="12"/>
  </r>
  <r>
    <x v="1"/>
    <x v="13"/>
    <x v="13"/>
    <x v="12"/>
    <x v="13"/>
    <x v="13"/>
  </r>
  <r>
    <x v="2"/>
    <x v="14"/>
    <x v="14"/>
    <x v="13"/>
    <x v="14"/>
    <x v="14"/>
  </r>
  <r>
    <x v="3"/>
    <x v="15"/>
    <x v="15"/>
    <x v="14"/>
    <x v="15"/>
    <x v="15"/>
  </r>
  <r>
    <x v="0"/>
    <x v="16"/>
    <x v="16"/>
    <x v="15"/>
    <x v="16"/>
    <x v="16"/>
  </r>
  <r>
    <x v="1"/>
    <x v="17"/>
    <x v="17"/>
    <x v="16"/>
    <x v="17"/>
    <x v="17"/>
  </r>
  <r>
    <x v="2"/>
    <x v="18"/>
    <x v="18"/>
    <x v="0"/>
    <x v="18"/>
    <x v="18"/>
  </r>
  <r>
    <x v="3"/>
    <x v="19"/>
    <x v="19"/>
    <x v="0"/>
    <x v="19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dataOnRows="1" applyNumberFormats="0" applyBorderFormats="0" applyFontFormats="0" applyPatternFormats="0" applyAlignmentFormats="0" applyWidthHeightFormats="1" dataCaption="Data" showItems="0" showMultipleLabel="0" showMemberPropertyTips="0" useAutoFormatting="1" rowGrandTotals="0" itemPrintTitles="1" indent="0" compact="0" compactData="0" gridDropZones="1">
  <location ref="R87:S92" firstHeaderRow="2" firstDataRow="2" firstDataCol="1"/>
  <pivotFields count="6">
    <pivotField axis="axisRow" compact="0" outline="0" subtotalTop="0" showAll="0" includeNewItemsInFilter="1">
      <items count="5">
        <item x="0"/>
        <item x="1"/>
        <item x="2"/>
        <item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" outline="0" subtotalTop="0" showAll="0" includeNewItemsInFilter="1"/>
    <pivotField dataField="1" compact="0" outline="0" subtotalTop="0" showAll="0" includeNewItemsInFilter="1"/>
  </pivotFields>
  <rowFields count="1">
    <field x="0"/>
  </rowFields>
  <rowItems count="4">
    <i>
      <x/>
    </i>
    <i>
      <x v="1"/>
    </i>
    <i>
      <x v="2"/>
    </i>
    <i>
      <x v="3"/>
    </i>
  </rowItems>
  <colItems count="1">
    <i/>
  </colItems>
  <dataFields count="1">
    <dataField name="Average of Seasonal Factor St" fld="5" subtotal="average" baseField="0" baseItem="0" numFmtId="164"/>
  </dataFields>
  <formats count="7">
    <format dxfId="41">
      <pivotArea outline="0" fieldPosition="0"/>
    </format>
    <format dxfId="40">
      <pivotArea outline="0" fieldPosition="0"/>
    </format>
    <format dxfId="39">
      <pivotArea outline="0" fieldPosition="0"/>
    </format>
    <format dxfId="38">
      <pivotArea outline="0" fieldPosition="0"/>
    </format>
    <format dxfId="37">
      <pivotArea outline="0" fieldPosition="0"/>
    </format>
    <format dxfId="36">
      <pivotArea outline="0" fieldPosition="0"/>
    </format>
    <format dxfId="35">
      <pivotArea outline="0" fieldPosition="0"/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" dataOnRows="1" applyNumberFormats="0" applyBorderFormats="0" applyFontFormats="0" applyPatternFormats="0" applyAlignmentFormats="0" applyWidthHeightFormats="1" dataCaption="Data" showItems="0" showMultipleLabel="0" showMemberPropertyTips="0" useAutoFormatting="1" rowGrandTotals="0" itemPrintTitles="1" indent="0" compact="0" compactData="0" gridDropZones="1">
  <location ref="R94:S99" firstHeaderRow="2" firstDataRow="2" firstDataCol="1"/>
  <pivotFields count="6">
    <pivotField axis="axisRow" compact="0" outline="0" subtotalTop="0" showAll="0" includeNewItemsInFilter="1">
      <items count="5">
        <item x="0"/>
        <item x="1"/>
        <item x="2"/>
        <item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" outline="0" subtotalTop="0" showAll="0" includeNewItemsInFilter="1"/>
    <pivotField dataField="1" compact="0" outline="0" subtotalTop="0" showAll="0" includeNewItemsInFilter="1"/>
  </pivotFields>
  <rowFields count="1">
    <field x="0"/>
  </rowFields>
  <rowItems count="4">
    <i>
      <x/>
    </i>
    <i>
      <x v="1"/>
    </i>
    <i>
      <x v="2"/>
    </i>
    <i>
      <x v="3"/>
    </i>
  </rowItems>
  <colItems count="1">
    <i/>
  </colItems>
  <dataFields count="1">
    <dataField name="Average of Seasonal Factor St" fld="5" subtotal="average" baseField="0" baseItem="0" numFmtId="164"/>
  </dataFields>
  <formats count="7">
    <format dxfId="34">
      <pivotArea outline="0" fieldPosition="0"/>
    </format>
    <format dxfId="33">
      <pivotArea outline="0" fieldPosition="0"/>
    </format>
    <format dxfId="32">
      <pivotArea outline="0" fieldPosition="0"/>
    </format>
    <format dxfId="31">
      <pivotArea outline="0" fieldPosition="0"/>
    </format>
    <format dxfId="30">
      <pivotArea outline="0" fieldPosition="0"/>
    </format>
    <format dxfId="29">
      <pivotArea outline="0" fieldPosition="0"/>
    </format>
    <format dxfId="28">
      <pivotArea outline="0" fieldPosition="0"/>
    </format>
  </format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showItems="0" showMultipleLabel="0" showMemberPropertyTips="0" useAutoFormatting="1" rowGrandTotals="0" itemPrintTitles="1" indent="0" compact="0" compactData="0" gridDropZones="1">
  <location ref="R51:S56" firstHeaderRow="2" firstDataRow="2" firstDataCol="1"/>
  <pivotFields count="6">
    <pivotField axis="axisRow" compact="0" outline="0" subtotalTop="0" showAll="0" includeNewItemsInFilter="1">
      <items count="5">
        <item x="0"/>
        <item x="1"/>
        <item x="2"/>
        <item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" outline="0" subtotalTop="0" showAll="0" includeNewItemsInFilter="1"/>
    <pivotField dataField="1" compact="0" outline="0" subtotalTop="0" showAll="0" includeNewItemsInFilter="1"/>
  </pivotFields>
  <rowFields count="1">
    <field x="0"/>
  </rowFields>
  <rowItems count="4">
    <i>
      <x/>
    </i>
    <i>
      <x v="1"/>
    </i>
    <i>
      <x v="2"/>
    </i>
    <i>
      <x v="3"/>
    </i>
  </rowItems>
  <colItems count="1">
    <i/>
  </colItems>
  <dataFields count="1">
    <dataField name="Average of Seasonal Factor St" fld="5" subtotal="average" baseField="0" baseItem="0" numFmtId="164"/>
  </dataFields>
  <formats count="7">
    <format dxfId="20">
      <pivotArea outline="0" fieldPosition="0"/>
    </format>
    <format dxfId="19">
      <pivotArea outline="0" fieldPosition="0"/>
    </format>
    <format dxfId="18">
      <pivotArea outline="0" fieldPosition="0"/>
    </format>
    <format dxfId="17">
      <pivotArea outline="0" fieldPosition="0"/>
    </format>
    <format dxfId="16">
      <pivotArea outline="0" fieldPosition="0"/>
    </format>
    <format dxfId="15">
      <pivotArea outline="0" fieldPosition="0"/>
    </format>
    <format dxfId="14">
      <pivotArea outline="0" fieldPosition="0"/>
    </format>
  </format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2" cacheId="1" dataOnRows="1" applyNumberFormats="0" applyBorderFormats="0" applyFontFormats="0" applyPatternFormats="0" applyAlignmentFormats="0" applyWidthHeightFormats="1" dataCaption="Data" showItems="0" showMultipleLabel="0" showMemberPropertyTips="0" useAutoFormatting="1" rowGrandTotals="0" itemPrintTitles="1" indent="0" compact="0" compactData="0" gridDropZones="1">
  <location ref="R87:S92" firstHeaderRow="2" firstDataRow="2" firstDataCol="1"/>
  <pivotFields count="6">
    <pivotField axis="axisRow" compact="0" outline="0" subtotalTop="0" showAll="0" includeNewItemsInFilter="1">
      <items count="5">
        <item x="0"/>
        <item x="1"/>
        <item x="2"/>
        <item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" outline="0" subtotalTop="0" showAll="0" includeNewItemsInFilter="1"/>
    <pivotField dataField="1" compact="0" outline="0" subtotalTop="0" showAll="0" includeNewItemsInFilter="1"/>
  </pivotFields>
  <rowFields count="1">
    <field x="0"/>
  </rowFields>
  <rowItems count="4">
    <i>
      <x/>
    </i>
    <i>
      <x v="1"/>
    </i>
    <i>
      <x v="2"/>
    </i>
    <i>
      <x v="3"/>
    </i>
  </rowItems>
  <colItems count="1">
    <i/>
  </colItems>
  <dataFields count="1">
    <dataField name="Average of Seasonal Factor St" fld="5" subtotal="average" baseField="0" baseItem="0" numFmtId="164"/>
  </dataFields>
  <formats count="7">
    <format dxfId="27">
      <pivotArea outline="0" fieldPosition="0"/>
    </format>
    <format dxfId="26">
      <pivotArea outline="0" fieldPosition="0"/>
    </format>
    <format dxfId="25">
      <pivotArea outline="0" fieldPosition="0"/>
    </format>
    <format dxfId="24">
      <pivotArea outline="0" fieldPosition="0"/>
    </format>
    <format dxfId="23">
      <pivotArea outline="0" fieldPosition="0"/>
    </format>
    <format dxfId="22">
      <pivotArea outline="0" fieldPosition="0"/>
    </format>
    <format dxfId="21">
      <pivotArea outline="0" fieldPosition="0"/>
    </format>
  </formats>
  <pivotTableStyleInfo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le2" cacheId="1" dataOnRows="1" applyNumberFormats="0" applyBorderFormats="0" applyFontFormats="0" applyPatternFormats="0" applyAlignmentFormats="0" applyWidthHeightFormats="1" dataCaption="Data" showItems="0" showMultipleLabel="0" showMemberPropertyTips="0" useAutoFormatting="1" rowGrandTotals="0" itemPrintTitles="1" indent="0" compact="0" compactData="0" gridDropZones="1">
  <location ref="R94:S99" firstHeaderRow="2" firstDataRow="2" firstDataCol="1"/>
  <pivotFields count="6">
    <pivotField axis="axisRow" compact="0" outline="0" subtotalTop="0" showAll="0" includeNewItemsInFilter="1">
      <items count="5">
        <item x="0"/>
        <item x="1"/>
        <item x="2"/>
        <item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" outline="0" subtotalTop="0" showAll="0" includeNewItemsInFilter="1"/>
    <pivotField dataField="1" compact="0" outline="0" subtotalTop="0" showAll="0" includeNewItemsInFilter="1"/>
  </pivotFields>
  <rowFields count="1">
    <field x="0"/>
  </rowFields>
  <rowItems count="4">
    <i>
      <x/>
    </i>
    <i>
      <x v="1"/>
    </i>
    <i>
      <x v="2"/>
    </i>
    <i>
      <x v="3"/>
    </i>
  </rowItems>
  <colItems count="1">
    <i/>
  </colItems>
  <dataFields count="1">
    <dataField name="Average of Seasonal Factor St" fld="5" subtotal="average" baseField="0" baseItem="0" numFmtId="164"/>
  </dataFields>
  <formats count="7">
    <format dxfId="6">
      <pivotArea outline="0" fieldPosition="0"/>
    </format>
    <format dxfId="5">
      <pivotArea outline="0" fieldPosition="0"/>
    </format>
    <format dxfId="4">
      <pivotArea outline="0" fieldPosition="0"/>
    </format>
    <format dxfId="3">
      <pivotArea outline="0" fieldPosition="0"/>
    </format>
    <format dxfId="2">
      <pivotArea outline="0" fieldPosition="0"/>
    </format>
    <format dxfId="1">
      <pivotArea outline="0" fieldPosition="0"/>
    </format>
    <format dxfId="0">
      <pivotArea outline="0" fieldPosition="0"/>
    </format>
  </formats>
  <pivotTableStyleInfo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showItems="0" showMultipleLabel="0" showMemberPropertyTips="0" useAutoFormatting="1" rowGrandTotals="0" itemPrintTitles="1" indent="0" compact="0" compactData="0" gridDropZones="1">
  <location ref="R52:S57" firstHeaderRow="2" firstDataRow="2" firstDataCol="1"/>
  <pivotFields count="6">
    <pivotField axis="axisRow" compact="0" outline="0" subtotalTop="0" showAll="0" includeNewItemsInFilter="1">
      <items count="5">
        <item x="0"/>
        <item x="1"/>
        <item x="2"/>
        <item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" outline="0" subtotalTop="0" showAll="0" includeNewItemsInFilter="1"/>
    <pivotField dataField="1" compact="0" outline="0" subtotalTop="0" showAll="0" includeNewItemsInFilter="1"/>
  </pivotFields>
  <rowFields count="1">
    <field x="0"/>
  </rowFields>
  <rowItems count="4">
    <i>
      <x/>
    </i>
    <i>
      <x v="1"/>
    </i>
    <i>
      <x v="2"/>
    </i>
    <i>
      <x v="3"/>
    </i>
  </rowItems>
  <colItems count="1">
    <i/>
  </colItems>
  <dataFields count="1">
    <dataField name="Average of Seasonal Factor St" fld="5" subtotal="average" baseField="0" baseItem="0" numFmtId="164"/>
  </dataFields>
  <formats count="7">
    <format dxfId="13">
      <pivotArea outline="0" fieldPosition="0"/>
    </format>
    <format dxfId="12">
      <pivotArea outline="0" fieldPosition="0"/>
    </format>
    <format dxfId="11">
      <pivotArea outline="0" fieldPosition="0"/>
    </format>
    <format dxfId="10">
      <pivotArea outline="0" fieldPosition="0"/>
    </format>
    <format dxfId="9">
      <pivotArea outline="0" fieldPosition="0"/>
    </format>
    <format dxfId="8">
      <pivotArea outline="0" fieldPosition="0"/>
    </format>
    <format dxfId="7">
      <pivotArea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126"/>
  <sheetViews>
    <sheetView tabSelected="1" zoomScale="80" zoomScaleNormal="80" workbookViewId="0">
      <selection activeCell="R65" sqref="R65"/>
    </sheetView>
  </sheetViews>
  <sheetFormatPr defaultRowHeight="12.75" x14ac:dyDescent="0.2"/>
  <cols>
    <col min="1" max="5" width="10" style="2" customWidth="1"/>
    <col min="6" max="7" width="10" customWidth="1"/>
    <col min="8" max="10" width="8.5703125" customWidth="1"/>
    <col min="11" max="11" width="12.28515625" customWidth="1"/>
    <col min="12" max="12" width="11.140625" customWidth="1"/>
    <col min="13" max="14" width="8.5703125" customWidth="1"/>
    <col min="15" max="15" width="8.5703125" style="39" customWidth="1"/>
    <col min="17" max="17" width="6.140625" customWidth="1"/>
    <col min="18" max="18" width="32.28515625" customWidth="1"/>
    <col min="19" max="19" width="14.7109375" customWidth="1"/>
    <col min="20" max="20" width="14.85546875" customWidth="1"/>
    <col min="21" max="26" width="9.7109375" customWidth="1"/>
  </cols>
  <sheetData>
    <row r="1" spans="1:15" x14ac:dyDescent="0.2">
      <c r="A1" s="8" t="s">
        <v>67</v>
      </c>
    </row>
    <row r="4" spans="1:15" s="31" customFormat="1" ht="41.25" customHeight="1" x14ac:dyDescent="0.2">
      <c r="A4" s="38" t="s">
        <v>1</v>
      </c>
      <c r="B4" s="38" t="s">
        <v>2</v>
      </c>
      <c r="C4" s="100" t="s">
        <v>49</v>
      </c>
      <c r="D4" s="101"/>
      <c r="E4" s="100" t="s">
        <v>50</v>
      </c>
      <c r="F4" s="101"/>
      <c r="O4" s="48"/>
    </row>
    <row r="5" spans="1:15" x14ac:dyDescent="0.2">
      <c r="A5" s="49">
        <v>2005</v>
      </c>
      <c r="B5" s="23" t="s">
        <v>4</v>
      </c>
      <c r="C5" s="96">
        <v>2250</v>
      </c>
      <c r="D5" s="97"/>
      <c r="E5" s="96">
        <v>3200</v>
      </c>
      <c r="F5" s="97"/>
    </row>
    <row r="6" spans="1:15" x14ac:dyDescent="0.2">
      <c r="A6" s="49"/>
      <c r="B6" s="23" t="s">
        <v>48</v>
      </c>
      <c r="C6" s="96">
        <v>1737</v>
      </c>
      <c r="D6" s="97"/>
      <c r="E6" s="96">
        <v>7658</v>
      </c>
      <c r="F6" s="97"/>
      <c r="I6" s="7" t="s">
        <v>51</v>
      </c>
      <c r="J6" s="7" t="s">
        <v>34</v>
      </c>
    </row>
    <row r="7" spans="1:15" x14ac:dyDescent="0.2">
      <c r="A7" s="49"/>
      <c r="B7" s="23" t="s">
        <v>5</v>
      </c>
      <c r="C7" s="96">
        <v>2412</v>
      </c>
      <c r="D7" s="97"/>
      <c r="E7" s="96">
        <v>4420</v>
      </c>
      <c r="F7" s="97"/>
    </row>
    <row r="8" spans="1:15" x14ac:dyDescent="0.2">
      <c r="A8" s="49"/>
      <c r="B8" s="23" t="s">
        <v>3</v>
      </c>
      <c r="C8" s="96">
        <v>7269</v>
      </c>
      <c r="D8" s="97"/>
      <c r="E8" s="96">
        <v>2384</v>
      </c>
      <c r="F8" s="97"/>
    </row>
    <row r="9" spans="1:15" x14ac:dyDescent="0.2">
      <c r="A9" s="49">
        <v>2006</v>
      </c>
      <c r="B9" s="23" t="s">
        <v>4</v>
      </c>
      <c r="C9" s="96">
        <v>3514</v>
      </c>
      <c r="D9" s="97"/>
      <c r="E9" s="96">
        <v>3654</v>
      </c>
      <c r="F9" s="97"/>
    </row>
    <row r="10" spans="1:15" x14ac:dyDescent="0.2">
      <c r="A10" s="49"/>
      <c r="B10" s="23" t="s">
        <v>48</v>
      </c>
      <c r="C10" s="96">
        <v>2143</v>
      </c>
      <c r="D10" s="97"/>
      <c r="E10" s="96">
        <v>8680</v>
      </c>
      <c r="F10" s="97"/>
    </row>
    <row r="11" spans="1:15" x14ac:dyDescent="0.2">
      <c r="A11" s="49"/>
      <c r="B11" s="23" t="s">
        <v>5</v>
      </c>
      <c r="C11" s="96">
        <v>3459</v>
      </c>
      <c r="D11" s="97"/>
      <c r="E11" s="96">
        <v>5695</v>
      </c>
      <c r="F11" s="97"/>
    </row>
    <row r="12" spans="1:15" x14ac:dyDescent="0.2">
      <c r="A12" s="49"/>
      <c r="B12" s="23" t="s">
        <v>3</v>
      </c>
      <c r="C12" s="96">
        <v>7056</v>
      </c>
      <c r="D12" s="97"/>
      <c r="E12" s="96">
        <v>1953</v>
      </c>
      <c r="F12" s="97"/>
    </row>
    <row r="13" spans="1:15" x14ac:dyDescent="0.2">
      <c r="A13" s="49">
        <v>2007</v>
      </c>
      <c r="B13" s="23" t="s">
        <v>4</v>
      </c>
      <c r="C13" s="96">
        <v>4120</v>
      </c>
      <c r="D13" s="97"/>
      <c r="E13" s="96">
        <v>4742</v>
      </c>
      <c r="F13" s="97"/>
    </row>
    <row r="14" spans="1:15" x14ac:dyDescent="0.2">
      <c r="A14" s="49"/>
      <c r="B14" s="23" t="s">
        <v>48</v>
      </c>
      <c r="C14" s="96">
        <v>2766</v>
      </c>
      <c r="D14" s="97"/>
      <c r="E14" s="96">
        <v>13673</v>
      </c>
      <c r="F14" s="97"/>
    </row>
    <row r="15" spans="1:15" x14ac:dyDescent="0.2">
      <c r="A15" s="49"/>
      <c r="B15" s="23" t="s">
        <v>5</v>
      </c>
      <c r="C15" s="96">
        <v>2556</v>
      </c>
      <c r="D15" s="97"/>
      <c r="E15" s="96">
        <v>6640</v>
      </c>
      <c r="F15" s="97"/>
    </row>
    <row r="16" spans="1:15" x14ac:dyDescent="0.2">
      <c r="A16" s="49"/>
      <c r="B16" s="23" t="s">
        <v>3</v>
      </c>
      <c r="C16" s="96">
        <v>8253</v>
      </c>
      <c r="D16" s="97"/>
      <c r="E16" s="96">
        <v>2737</v>
      </c>
      <c r="F16" s="97"/>
    </row>
    <row r="17" spans="1:19" x14ac:dyDescent="0.2">
      <c r="A17" s="49">
        <v>2008</v>
      </c>
      <c r="B17" s="23" t="s">
        <v>4</v>
      </c>
      <c r="C17" s="96">
        <v>5491</v>
      </c>
      <c r="D17" s="97"/>
      <c r="E17" s="96">
        <v>3486</v>
      </c>
      <c r="F17" s="97"/>
    </row>
    <row r="18" spans="1:19" x14ac:dyDescent="0.2">
      <c r="A18" s="49"/>
      <c r="B18" s="23" t="s">
        <v>48</v>
      </c>
      <c r="C18" s="96">
        <v>4382</v>
      </c>
      <c r="D18" s="97"/>
      <c r="E18" s="96">
        <v>13186</v>
      </c>
      <c r="F18" s="97"/>
    </row>
    <row r="19" spans="1:19" x14ac:dyDescent="0.2">
      <c r="A19" s="49"/>
      <c r="B19" s="23" t="s">
        <v>5</v>
      </c>
      <c r="C19" s="96">
        <v>4315</v>
      </c>
      <c r="D19" s="97"/>
      <c r="E19" s="96">
        <v>5448</v>
      </c>
      <c r="F19" s="97"/>
    </row>
    <row r="20" spans="1:19" x14ac:dyDescent="0.2">
      <c r="A20" s="49"/>
      <c r="B20" s="23" t="s">
        <v>3</v>
      </c>
      <c r="C20" s="96">
        <v>12035</v>
      </c>
      <c r="D20" s="97"/>
      <c r="E20" s="96">
        <v>3485</v>
      </c>
      <c r="F20" s="97"/>
    </row>
    <row r="21" spans="1:19" x14ac:dyDescent="0.2">
      <c r="A21" s="49">
        <v>2009</v>
      </c>
      <c r="B21" s="23" t="s">
        <v>4</v>
      </c>
      <c r="C21" s="96">
        <v>5648</v>
      </c>
      <c r="D21" s="97"/>
      <c r="E21" s="96">
        <v>7728</v>
      </c>
      <c r="F21" s="97"/>
    </row>
    <row r="22" spans="1:19" x14ac:dyDescent="0.2">
      <c r="A22" s="49"/>
      <c r="B22" s="23" t="s">
        <v>48</v>
      </c>
      <c r="C22" s="96">
        <v>3696</v>
      </c>
      <c r="D22" s="97"/>
      <c r="E22" s="96">
        <v>16591</v>
      </c>
      <c r="F22" s="97"/>
    </row>
    <row r="23" spans="1:19" x14ac:dyDescent="0.2">
      <c r="A23" s="49"/>
      <c r="B23" s="23" t="s">
        <v>5</v>
      </c>
      <c r="C23" s="96">
        <v>4843</v>
      </c>
      <c r="D23" s="97"/>
      <c r="E23" s="96">
        <v>8236</v>
      </c>
      <c r="F23" s="97"/>
    </row>
    <row r="24" spans="1:19" x14ac:dyDescent="0.2">
      <c r="A24" s="50"/>
      <c r="B24" s="24" t="s">
        <v>3</v>
      </c>
      <c r="C24" s="98">
        <v>13097</v>
      </c>
      <c r="D24" s="99"/>
      <c r="E24" s="98">
        <v>3316</v>
      </c>
      <c r="F24" s="99"/>
    </row>
    <row r="25" spans="1:19" x14ac:dyDescent="0.2">
      <c r="A25"/>
      <c r="B25"/>
      <c r="C25"/>
      <c r="D25"/>
      <c r="E25"/>
    </row>
    <row r="26" spans="1:19" x14ac:dyDescent="0.2">
      <c r="A26"/>
      <c r="B26"/>
      <c r="C26"/>
      <c r="D26"/>
      <c r="E26"/>
    </row>
    <row r="27" spans="1:19" ht="15.75" x14ac:dyDescent="0.25">
      <c r="A27" s="59" t="s">
        <v>53</v>
      </c>
      <c r="B27" s="51"/>
      <c r="F27" s="2"/>
      <c r="O27"/>
      <c r="P27" s="39"/>
    </row>
    <row r="28" spans="1:19" s="31" customFormat="1" ht="45.75" customHeight="1" x14ac:dyDescent="0.3">
      <c r="A28" s="30" t="s">
        <v>2</v>
      </c>
      <c r="B28" s="30" t="s">
        <v>6</v>
      </c>
      <c r="C28" s="30" t="s">
        <v>7</v>
      </c>
      <c r="D28" s="30" t="s">
        <v>36</v>
      </c>
      <c r="E28" s="30" t="s">
        <v>37</v>
      </c>
      <c r="F28" s="30" t="s">
        <v>8</v>
      </c>
      <c r="G28" s="32" t="s">
        <v>9</v>
      </c>
      <c r="H28" s="33"/>
      <c r="I28" s="30" t="s">
        <v>38</v>
      </c>
      <c r="J28" s="30" t="s">
        <v>39</v>
      </c>
      <c r="K28" s="30" t="s">
        <v>43</v>
      </c>
      <c r="L28" s="30" t="s">
        <v>40</v>
      </c>
      <c r="M28" s="30" t="s">
        <v>41</v>
      </c>
      <c r="N28" s="30" t="s">
        <v>45</v>
      </c>
      <c r="O28" s="30" t="s">
        <v>42</v>
      </c>
      <c r="P28" s="40" t="s">
        <v>44</v>
      </c>
      <c r="R28" s="8" t="s">
        <v>68</v>
      </c>
    </row>
    <row r="29" spans="1:19" x14ac:dyDescent="0.2">
      <c r="A29" s="46" t="s">
        <v>4</v>
      </c>
      <c r="B29" s="13">
        <v>1</v>
      </c>
      <c r="C29" s="78">
        <v>2250</v>
      </c>
      <c r="D29" s="15"/>
      <c r="E29" s="15">
        <f t="shared" ref="E29:E48" si="0">$S$46+B29*$S$47</f>
        <v>2819.6034926470629</v>
      </c>
      <c r="F29" s="17">
        <f>C29/E29</f>
        <v>0.79798454139652264</v>
      </c>
      <c r="G29" s="25">
        <f>($S$46+B29*$S$47)*$S$53</f>
        <v>2535.6106582152524</v>
      </c>
      <c r="H29" s="34"/>
      <c r="I29" s="25">
        <f>G29-C29</f>
        <v>285.61065821525244</v>
      </c>
      <c r="J29" s="25">
        <f>ABS(I29)</f>
        <v>285.61065821525244</v>
      </c>
      <c r="K29" s="25">
        <f>SUM($I$29:I29)</f>
        <v>285.61065821525244</v>
      </c>
      <c r="L29" s="25">
        <f>SUMSQ($I$29:I29)/B29</f>
        <v>81573.448086149743</v>
      </c>
      <c r="M29" s="25">
        <f>SUM($J$29:J29)/B29</f>
        <v>285.61065821525244</v>
      </c>
      <c r="N29" s="25">
        <f>J29/C29*100</f>
        <v>12.693807031788998</v>
      </c>
      <c r="O29" s="25">
        <f>AVERAGE($N$29:N29)</f>
        <v>12.693807031788998</v>
      </c>
      <c r="P29" s="41">
        <f>SUM($I$29:I29)/M29</f>
        <v>1</v>
      </c>
    </row>
    <row r="30" spans="1:19" x14ac:dyDescent="0.2">
      <c r="A30" s="46" t="s">
        <v>48</v>
      </c>
      <c r="B30" s="13">
        <v>2</v>
      </c>
      <c r="C30" s="78">
        <v>1737</v>
      </c>
      <c r="D30" s="15"/>
      <c r="E30" s="15">
        <f t="shared" si="0"/>
        <v>3046.459375000004</v>
      </c>
      <c r="F30" s="17">
        <f t="shared" ref="F30:F48" si="1">C30/E30</f>
        <v>0.57017008473976372</v>
      </c>
      <c r="G30" s="25">
        <f>($S$46+B30*$S$47)*$S$54</f>
        <v>1824.4493285850067</v>
      </c>
      <c r="H30" s="34"/>
      <c r="I30" s="25">
        <f t="shared" ref="I30:I48" si="2">G30-C30</f>
        <v>87.449328585006697</v>
      </c>
      <c r="J30" s="25">
        <f t="shared" ref="J30:J84" si="3">ABS(I30)</f>
        <v>87.449328585006697</v>
      </c>
      <c r="K30" s="25">
        <f>SUM($I$29:I30)</f>
        <v>373.05998680025914</v>
      </c>
      <c r="L30" s="25">
        <f>SUMSQ($I$29:I30)/B30</f>
        <v>44610.416578059107</v>
      </c>
      <c r="M30" s="25">
        <f>SUM($J$29:J30)/B30</f>
        <v>186.52999340012957</v>
      </c>
      <c r="N30" s="25">
        <f t="shared" ref="N30:N48" si="4">J30/C30*100</f>
        <v>5.0345036606221472</v>
      </c>
      <c r="O30" s="25">
        <f>AVERAGE($N$29:N30)</f>
        <v>8.8641553462055729</v>
      </c>
      <c r="P30" s="41">
        <f>SUM($I$29:I30)/M30</f>
        <v>2</v>
      </c>
      <c r="R30" t="s">
        <v>10</v>
      </c>
    </row>
    <row r="31" spans="1:19" ht="13.5" thickBot="1" x14ac:dyDescent="0.25">
      <c r="A31" s="46" t="s">
        <v>5</v>
      </c>
      <c r="B31" s="13">
        <v>3</v>
      </c>
      <c r="C31" s="78">
        <v>2412</v>
      </c>
      <c r="D31" s="15">
        <f>(C29+C33+2*SUM(C30:C32))/(2*4)</f>
        <v>3575</v>
      </c>
      <c r="E31" s="15">
        <f t="shared" si="0"/>
        <v>3273.3152573529446</v>
      </c>
      <c r="F31" s="17">
        <f t="shared" si="1"/>
        <v>0.73686761291380454</v>
      </c>
      <c r="G31" s="25">
        <f>($S$46+B31*$S$47)*$S$55</f>
        <v>2283.3665376449812</v>
      </c>
      <c r="H31" s="34"/>
      <c r="I31" s="25">
        <f t="shared" si="2"/>
        <v>-128.63346235501876</v>
      </c>
      <c r="J31" s="25">
        <f t="shared" si="3"/>
        <v>128.63346235501876</v>
      </c>
      <c r="K31" s="25">
        <f>SUM($I$29:I31)</f>
        <v>244.42652444524037</v>
      </c>
      <c r="L31" s="25">
        <f>SUMSQ($I$29:I31)/B31</f>
        <v>35255.800264519414</v>
      </c>
      <c r="M31" s="25">
        <f>SUM($J$29:J31)/B31</f>
        <v>167.23114971842597</v>
      </c>
      <c r="N31" s="25">
        <f t="shared" si="4"/>
        <v>5.3330622866923205</v>
      </c>
      <c r="O31" s="25">
        <f>AVERAGE($N$29:N31)</f>
        <v>7.6871243263678224</v>
      </c>
      <c r="P31" s="41">
        <f>SUM($I$29:I31)/M31</f>
        <v>1.4616088262072675</v>
      </c>
    </row>
    <row r="32" spans="1:19" x14ac:dyDescent="0.2">
      <c r="A32" s="46" t="s">
        <v>3</v>
      </c>
      <c r="B32" s="13">
        <v>4</v>
      </c>
      <c r="C32" s="78">
        <v>7269</v>
      </c>
      <c r="D32" s="15">
        <f t="shared" ref="D32:D45" si="5">(C30+C34+2*SUM(C31:C33))/(2*4)</f>
        <v>3783.75</v>
      </c>
      <c r="E32" s="15">
        <f t="shared" si="0"/>
        <v>3500.1711397058857</v>
      </c>
      <c r="F32" s="17">
        <f t="shared" si="1"/>
        <v>2.0767555956166199</v>
      </c>
      <c r="G32" s="25">
        <f>($S$46+B32*$S$47)*$S$56</f>
        <v>6301.3216371972812</v>
      </c>
      <c r="H32" s="34"/>
      <c r="I32" s="25">
        <f t="shared" si="2"/>
        <v>-967.67836280271877</v>
      </c>
      <c r="J32" s="25">
        <f t="shared" si="3"/>
        <v>967.67836280271877</v>
      </c>
      <c r="K32" s="25">
        <f>SUM($I$29:I32)</f>
        <v>-723.25183835747839</v>
      </c>
      <c r="L32" s="25">
        <f>SUMSQ($I$29:I32)/B32</f>
        <v>260542.2036575271</v>
      </c>
      <c r="M32" s="25">
        <f>SUM($J$29:J32)/B32</f>
        <v>367.34295298949917</v>
      </c>
      <c r="N32" s="25">
        <f t="shared" si="4"/>
        <v>13.312400093585344</v>
      </c>
      <c r="O32" s="25">
        <f>AVERAGE($N$29:N32)</f>
        <v>9.0934432681722033</v>
      </c>
      <c r="P32" s="41">
        <f>SUM($I$29:I32)/M32</f>
        <v>-1.9688735893026732</v>
      </c>
      <c r="R32" s="6" t="s">
        <v>11</v>
      </c>
      <c r="S32" s="6"/>
    </row>
    <row r="33" spans="1:26" x14ac:dyDescent="0.2">
      <c r="A33" s="46" t="s">
        <v>4</v>
      </c>
      <c r="B33" s="13">
        <v>5</v>
      </c>
      <c r="C33" s="78">
        <v>3514</v>
      </c>
      <c r="D33" s="15">
        <f t="shared" si="5"/>
        <v>3965.375</v>
      </c>
      <c r="E33" s="15">
        <f t="shared" si="0"/>
        <v>3727.0270220588263</v>
      </c>
      <c r="F33" s="17">
        <f t="shared" si="1"/>
        <v>0.94284264085073655</v>
      </c>
      <c r="G33" s="25">
        <f>($S$46+B33*$S$47)*$S$53</f>
        <v>3351.6377268055576</v>
      </c>
      <c r="H33" s="34"/>
      <c r="I33" s="25">
        <f t="shared" si="2"/>
        <v>-162.36227319444242</v>
      </c>
      <c r="J33" s="25">
        <f t="shared" si="3"/>
        <v>162.36227319444242</v>
      </c>
      <c r="K33" s="25">
        <f>SUM($I$29:I33)</f>
        <v>-885.61411155192081</v>
      </c>
      <c r="L33" s="25">
        <f>SUMSQ($I$29:I33)/B33</f>
        <v>213706.06447739503</v>
      </c>
      <c r="M33" s="25">
        <f>SUM($J$29:J33)/B33</f>
        <v>326.34681703048784</v>
      </c>
      <c r="N33" s="25">
        <f t="shared" si="4"/>
        <v>4.6204403299499832</v>
      </c>
      <c r="O33" s="25">
        <f>AVERAGE($N$29:N33)</f>
        <v>8.1988426805277594</v>
      </c>
      <c r="P33" s="41">
        <f>SUM($I$29:I33)/M33</f>
        <v>-2.7137206963142688</v>
      </c>
      <c r="R33" s="3" t="s">
        <v>12</v>
      </c>
      <c r="S33" s="3">
        <v>0.95541269928121775</v>
      </c>
    </row>
    <row r="34" spans="1:26" x14ac:dyDescent="0.2">
      <c r="A34" s="46" t="s">
        <v>48</v>
      </c>
      <c r="B34" s="13">
        <v>6</v>
      </c>
      <c r="C34" s="78">
        <v>2143</v>
      </c>
      <c r="D34" s="15">
        <f t="shared" si="5"/>
        <v>4069.625</v>
      </c>
      <c r="E34" s="15">
        <f t="shared" si="0"/>
        <v>3953.8829044117674</v>
      </c>
      <c r="F34" s="17">
        <f t="shared" si="1"/>
        <v>0.54199885323078922</v>
      </c>
      <c r="G34" s="25">
        <f>($S$46+B34*$S$47)*$S$54</f>
        <v>2367.8828838010604</v>
      </c>
      <c r="H34" s="34"/>
      <c r="I34" s="25">
        <f t="shared" si="2"/>
        <v>224.88288380106042</v>
      </c>
      <c r="J34" s="25">
        <f t="shared" si="3"/>
        <v>224.88288380106042</v>
      </c>
      <c r="K34" s="25">
        <f>SUM($I$29:I34)</f>
        <v>-660.7312277508604</v>
      </c>
      <c r="L34" s="25">
        <f>SUMSQ($I$29:I34)/B34</f>
        <v>186517.10563560939</v>
      </c>
      <c r="M34" s="25">
        <f>SUM($J$29:J34)/B34</f>
        <v>309.43616149224994</v>
      </c>
      <c r="N34" s="25">
        <f t="shared" si="4"/>
        <v>10.493834988383593</v>
      </c>
      <c r="O34" s="25">
        <f>AVERAGE($N$29:N34)</f>
        <v>8.5813413985037315</v>
      </c>
      <c r="P34" s="41">
        <f>SUM($I$29:I34)/M34</f>
        <v>-2.1352747673849648</v>
      </c>
      <c r="R34" s="3" t="s">
        <v>13</v>
      </c>
      <c r="S34" s="3">
        <v>0.91281342594782267</v>
      </c>
    </row>
    <row r="35" spans="1:26" x14ac:dyDescent="0.2">
      <c r="A35" s="46" t="s">
        <v>5</v>
      </c>
      <c r="B35" s="13">
        <v>7</v>
      </c>
      <c r="C35" s="78">
        <v>3459</v>
      </c>
      <c r="D35" s="15">
        <f t="shared" si="5"/>
        <v>4118.75</v>
      </c>
      <c r="E35" s="15">
        <f t="shared" si="0"/>
        <v>4180.7387867647085</v>
      </c>
      <c r="F35" s="17">
        <f t="shared" si="1"/>
        <v>0.82736573041837169</v>
      </c>
      <c r="G35" s="25">
        <f>($S$46+B35*$S$47)*$S$55</f>
        <v>2916.3579728195118</v>
      </c>
      <c r="H35" s="34"/>
      <c r="I35" s="25">
        <f t="shared" si="2"/>
        <v>-542.64202718048818</v>
      </c>
      <c r="J35" s="25">
        <f t="shared" si="3"/>
        <v>542.64202718048818</v>
      </c>
      <c r="K35" s="25">
        <f>SUM($I$29:I35)</f>
        <v>-1203.3732549313486</v>
      </c>
      <c r="L35" s="25">
        <f>SUMSQ($I$29:I35)/B35</f>
        <v>201937.57192517232</v>
      </c>
      <c r="M35" s="25">
        <f>SUM($J$29:J35)/B35</f>
        <v>342.75128516199823</v>
      </c>
      <c r="N35" s="25">
        <f t="shared" si="4"/>
        <v>15.687829638059792</v>
      </c>
      <c r="O35" s="25">
        <f>AVERAGE($N$29:N35)</f>
        <v>9.5965540041545978</v>
      </c>
      <c r="P35" s="41">
        <f>SUM($I$29:I35)/M35</f>
        <v>-3.5109226632442394</v>
      </c>
      <c r="R35" s="3" t="s">
        <v>14</v>
      </c>
      <c r="S35" s="3">
        <v>0.90658581351552425</v>
      </c>
    </row>
    <row r="36" spans="1:26" x14ac:dyDescent="0.2">
      <c r="A36" s="46" t="s">
        <v>3</v>
      </c>
      <c r="B36" s="13">
        <v>8</v>
      </c>
      <c r="C36" s="78">
        <v>7056</v>
      </c>
      <c r="D36" s="15">
        <f t="shared" si="5"/>
        <v>4272.375</v>
      </c>
      <c r="E36" s="15">
        <f t="shared" si="0"/>
        <v>4407.5946691176487</v>
      </c>
      <c r="F36" s="17">
        <f t="shared" si="1"/>
        <v>1.6008731586501652</v>
      </c>
      <c r="G36" s="25">
        <f>($S$46+B36*$S$47)*$S$56</f>
        <v>7934.9467634431758</v>
      </c>
      <c r="H36" s="34"/>
      <c r="I36" s="25">
        <f t="shared" si="2"/>
        <v>878.94676344317577</v>
      </c>
      <c r="J36" s="25">
        <f t="shared" si="3"/>
        <v>878.94676344317577</v>
      </c>
      <c r="K36" s="25">
        <f>SUM($I$29:I36)</f>
        <v>-324.42649148817281</v>
      </c>
      <c r="L36" s="25">
        <f>SUMSQ($I$29:I36)/B36</f>
        <v>273263.80205543002</v>
      </c>
      <c r="M36" s="25">
        <f>SUM($J$29:J36)/B36</f>
        <v>409.77571994714543</v>
      </c>
      <c r="N36" s="25">
        <f t="shared" si="4"/>
        <v>12.45672850684773</v>
      </c>
      <c r="O36" s="25">
        <f>AVERAGE($N$29:N36)</f>
        <v>9.9540758169912387</v>
      </c>
      <c r="P36" s="41">
        <f>SUM($I$29:I36)/M36</f>
        <v>-0.79171721430937558</v>
      </c>
      <c r="R36" s="3" t="s">
        <v>15</v>
      </c>
      <c r="S36" s="3">
        <v>345.50893458873963</v>
      </c>
    </row>
    <row r="37" spans="1:26" ht="13.5" thickBot="1" x14ac:dyDescent="0.25">
      <c r="A37" s="46" t="s">
        <v>4</v>
      </c>
      <c r="B37" s="13">
        <v>9</v>
      </c>
      <c r="C37" s="78">
        <v>4120</v>
      </c>
      <c r="D37" s="15">
        <f t="shared" si="5"/>
        <v>4237.375</v>
      </c>
      <c r="E37" s="15">
        <f t="shared" si="0"/>
        <v>4634.4505514705897</v>
      </c>
      <c r="F37" s="17">
        <f t="shared" si="1"/>
        <v>0.88899427326776725</v>
      </c>
      <c r="G37" s="25">
        <f>($S$46+B37*$S$47)*$S$53</f>
        <v>4167.6647953958627</v>
      </c>
      <c r="H37" s="34"/>
      <c r="I37" s="25">
        <f t="shared" si="2"/>
        <v>47.664795395862711</v>
      </c>
      <c r="J37" s="25">
        <f t="shared" si="3"/>
        <v>47.664795395862711</v>
      </c>
      <c r="K37" s="25">
        <f>SUM($I$29:I37)</f>
        <v>-276.7616960923101</v>
      </c>
      <c r="L37" s="25">
        <f>SUMSQ($I$29:I37)/B37</f>
        <v>243153.59435150772</v>
      </c>
      <c r="M37" s="25">
        <f>SUM($J$29:J37)/B37</f>
        <v>369.5411727747807</v>
      </c>
      <c r="N37" s="25">
        <f t="shared" si="4"/>
        <v>1.1569125096083184</v>
      </c>
      <c r="O37" s="25">
        <f>AVERAGE($N$29:N37)</f>
        <v>8.9766132272820247</v>
      </c>
      <c r="P37" s="41">
        <f>SUM($I$29:I37)/M37</f>
        <v>-0.74893331645343975</v>
      </c>
      <c r="R37" s="4" t="s">
        <v>16</v>
      </c>
      <c r="S37" s="4">
        <v>16</v>
      </c>
    </row>
    <row r="38" spans="1:26" x14ac:dyDescent="0.2">
      <c r="A38" s="46" t="s">
        <v>48</v>
      </c>
      <c r="B38" s="13">
        <v>10</v>
      </c>
      <c r="C38" s="78">
        <v>2766</v>
      </c>
      <c r="D38" s="15">
        <f t="shared" si="5"/>
        <v>4274.125</v>
      </c>
      <c r="E38" s="15">
        <f t="shared" si="0"/>
        <v>4861.3064338235308</v>
      </c>
      <c r="F38" s="17">
        <f t="shared" si="1"/>
        <v>0.56898285217220435</v>
      </c>
      <c r="G38" s="25">
        <f>($S$46+B38*$S$47)*$S$54</f>
        <v>2911.3164390171137</v>
      </c>
      <c r="H38" s="34"/>
      <c r="I38" s="25">
        <f t="shared" si="2"/>
        <v>145.31643901711368</v>
      </c>
      <c r="J38" s="25">
        <f t="shared" si="3"/>
        <v>145.31643901711368</v>
      </c>
      <c r="K38" s="25">
        <f>SUM($I$29:I38)</f>
        <v>-131.44525707519642</v>
      </c>
      <c r="L38" s="25">
        <f>SUMSQ($I$29:I38)/B38</f>
        <v>220949.9216612184</v>
      </c>
      <c r="M38" s="25">
        <f>SUM($J$29:J38)/B38</f>
        <v>347.11869939901396</v>
      </c>
      <c r="N38" s="25">
        <f t="shared" si="4"/>
        <v>5.2536673541978915</v>
      </c>
      <c r="O38" s="25">
        <f>AVERAGE($N$29:N38)</f>
        <v>8.6043186399736111</v>
      </c>
      <c r="P38" s="41">
        <f>SUM($I$29:I38)/M38</f>
        <v>-0.37867524078297987</v>
      </c>
    </row>
    <row r="39" spans="1:26" ht="13.5" thickBot="1" x14ac:dyDescent="0.25">
      <c r="A39" s="46" t="s">
        <v>5</v>
      </c>
      <c r="B39" s="13">
        <v>11</v>
      </c>
      <c r="C39" s="78">
        <v>2556</v>
      </c>
      <c r="D39" s="15">
        <f t="shared" si="5"/>
        <v>4595.125</v>
      </c>
      <c r="E39" s="15">
        <f t="shared" si="0"/>
        <v>5088.162316176471</v>
      </c>
      <c r="F39" s="17">
        <f t="shared" si="1"/>
        <v>0.50234246495515122</v>
      </c>
      <c r="G39" s="25">
        <f>($S$46+B39*$S$47)*$S$55</f>
        <v>3549.3494079940415</v>
      </c>
      <c r="H39" s="34"/>
      <c r="I39" s="25">
        <f t="shared" si="2"/>
        <v>993.34940799404148</v>
      </c>
      <c r="J39" s="25">
        <f t="shared" si="3"/>
        <v>993.34940799404148</v>
      </c>
      <c r="K39" s="25">
        <f>SUM($I$29:I39)</f>
        <v>861.90415091884506</v>
      </c>
      <c r="L39" s="25">
        <f>SUMSQ($I$29:I39)/B39</f>
        <v>290567.4784522088</v>
      </c>
      <c r="M39" s="25">
        <f>SUM($J$29:J39)/B39</f>
        <v>405.86694563492563</v>
      </c>
      <c r="N39" s="25">
        <f t="shared" si="4"/>
        <v>38.863435367529007</v>
      </c>
      <c r="O39" s="25">
        <f>AVERAGE($N$29:N39)</f>
        <v>11.355147433387739</v>
      </c>
      <c r="P39" s="41">
        <f>SUM($I$29:I39)/M39</f>
        <v>2.1236125784288964</v>
      </c>
      <c r="R39" t="s">
        <v>17</v>
      </c>
    </row>
    <row r="40" spans="1:26" x14ac:dyDescent="0.2">
      <c r="A40" s="46" t="s">
        <v>3</v>
      </c>
      <c r="B40" s="13">
        <v>12</v>
      </c>
      <c r="C40" s="78">
        <v>8253</v>
      </c>
      <c r="D40" s="15">
        <f t="shared" si="5"/>
        <v>4968.5</v>
      </c>
      <c r="E40" s="15">
        <f t="shared" si="0"/>
        <v>5315.0181985294121</v>
      </c>
      <c r="F40" s="17">
        <f t="shared" si="1"/>
        <v>1.5527698479533869</v>
      </c>
      <c r="G40" s="25">
        <f>($S$46+B40*$S$47)*$S$56</f>
        <v>9568.5718896890721</v>
      </c>
      <c r="H40" s="34"/>
      <c r="I40" s="25">
        <f t="shared" si="2"/>
        <v>1315.5718896890721</v>
      </c>
      <c r="J40" s="25">
        <f t="shared" si="3"/>
        <v>1315.5718896890721</v>
      </c>
      <c r="K40" s="25">
        <f>SUM($I$29:I40)</f>
        <v>2177.4760406079172</v>
      </c>
      <c r="L40" s="25">
        <f>SUMSQ($I$29:I40)/B40</f>
        <v>410580.97165953106</v>
      </c>
      <c r="M40" s="25">
        <f>SUM($J$29:J40)/B40</f>
        <v>481.67569097277118</v>
      </c>
      <c r="N40" s="25">
        <f t="shared" si="4"/>
        <v>15.940529379487121</v>
      </c>
      <c r="O40" s="25">
        <f>AVERAGE($N$29:N40)</f>
        <v>11.737262595562688</v>
      </c>
      <c r="P40" s="41">
        <f>SUM($I$29:I40)/M40</f>
        <v>4.520626806410724</v>
      </c>
      <c r="R40" s="5"/>
      <c r="S40" s="5" t="s">
        <v>21</v>
      </c>
      <c r="T40" s="5" t="s">
        <v>22</v>
      </c>
      <c r="U40" s="5" t="s">
        <v>23</v>
      </c>
      <c r="V40" s="5" t="s">
        <v>24</v>
      </c>
      <c r="W40" s="5" t="s">
        <v>25</v>
      </c>
    </row>
    <row r="41" spans="1:26" x14ac:dyDescent="0.2">
      <c r="A41" s="46" t="s">
        <v>4</v>
      </c>
      <c r="B41" s="13">
        <v>13</v>
      </c>
      <c r="C41" s="78">
        <v>5491</v>
      </c>
      <c r="D41" s="15">
        <f t="shared" si="5"/>
        <v>5390.375</v>
      </c>
      <c r="E41" s="15">
        <f t="shared" si="0"/>
        <v>5541.8740808823532</v>
      </c>
      <c r="F41" s="17">
        <f t="shared" si="1"/>
        <v>0.99082005831603936</v>
      </c>
      <c r="G41" s="25">
        <f>($S$46+B41*$S$47)*$S$53</f>
        <v>4983.6918639861678</v>
      </c>
      <c r="H41" s="34"/>
      <c r="I41" s="25">
        <f t="shared" si="2"/>
        <v>-507.30813601383215</v>
      </c>
      <c r="J41" s="25">
        <f t="shared" si="3"/>
        <v>507.30813601383215</v>
      </c>
      <c r="K41" s="25">
        <f>SUM($I$29:I41)</f>
        <v>1670.167904594085</v>
      </c>
      <c r="L41" s="25">
        <f>SUMSQ($I$29:I41)/B41</f>
        <v>398794.86190616933</v>
      </c>
      <c r="M41" s="25">
        <f>SUM($J$29:J41)/B41</f>
        <v>483.64741751439124</v>
      </c>
      <c r="N41" s="25">
        <f t="shared" si="4"/>
        <v>9.2389024952437104</v>
      </c>
      <c r="O41" s="25">
        <f>AVERAGE($N$29:N41)</f>
        <v>11.545081049384304</v>
      </c>
      <c r="P41" s="41">
        <f>SUM($I$29:I41)/M41</f>
        <v>3.4532757626983259</v>
      </c>
      <c r="R41" s="3" t="s">
        <v>18</v>
      </c>
      <c r="S41" s="3">
        <v>1</v>
      </c>
      <c r="T41" s="3">
        <v>17497621.061764706</v>
      </c>
      <c r="U41" s="3">
        <v>17497621.061764706</v>
      </c>
      <c r="V41" s="3">
        <v>146.57518204146442</v>
      </c>
      <c r="W41" s="3">
        <v>8.346873387958647E-9</v>
      </c>
    </row>
    <row r="42" spans="1:26" x14ac:dyDescent="0.2">
      <c r="A42" s="46" t="s">
        <v>48</v>
      </c>
      <c r="B42" s="13">
        <v>14</v>
      </c>
      <c r="C42" s="78">
        <v>4382</v>
      </c>
      <c r="D42" s="15">
        <f t="shared" si="5"/>
        <v>6083</v>
      </c>
      <c r="E42" s="15">
        <f t="shared" si="0"/>
        <v>5768.7299632352933</v>
      </c>
      <c r="F42" s="17">
        <f t="shared" si="1"/>
        <v>0.7596126058815259</v>
      </c>
      <c r="G42" s="25">
        <f>($S$46+B42*$S$47)*$S$54</f>
        <v>3454.7499942331669</v>
      </c>
      <c r="H42" s="34"/>
      <c r="I42" s="25">
        <f t="shared" si="2"/>
        <v>-927.25000576683306</v>
      </c>
      <c r="J42" s="25">
        <f t="shared" si="3"/>
        <v>927.25000576683306</v>
      </c>
      <c r="K42" s="25">
        <f>SUM($I$29:I42)</f>
        <v>742.91789882725197</v>
      </c>
      <c r="L42" s="25">
        <f>SUMSQ($I$29:I42)/B42</f>
        <v>431723.2698553424</v>
      </c>
      <c r="M42" s="25">
        <f>SUM($J$29:J42)/B42</f>
        <v>515.33331667527989</v>
      </c>
      <c r="N42" s="25">
        <f t="shared" si="4"/>
        <v>21.160429159443929</v>
      </c>
      <c r="O42" s="25">
        <f>AVERAGE($N$29:N42)</f>
        <v>12.231891628674278</v>
      </c>
      <c r="P42" s="41">
        <f>SUM($I$29:I42)/M42</f>
        <v>1.4416259822288511</v>
      </c>
      <c r="R42" s="3" t="s">
        <v>19</v>
      </c>
      <c r="S42" s="3">
        <v>14</v>
      </c>
      <c r="T42" s="3">
        <v>1671269.9343290438</v>
      </c>
      <c r="U42" s="3">
        <v>119376.42388064599</v>
      </c>
      <c r="V42" s="3"/>
      <c r="W42" s="3"/>
    </row>
    <row r="43" spans="1:26" ht="13.5" thickBot="1" x14ac:dyDescent="0.25">
      <c r="A43" s="46" t="s">
        <v>5</v>
      </c>
      <c r="B43" s="13">
        <v>15</v>
      </c>
      <c r="C43" s="78">
        <v>4315</v>
      </c>
      <c r="D43" s="15">
        <f t="shared" si="5"/>
        <v>6575.375</v>
      </c>
      <c r="E43" s="15">
        <f t="shared" si="0"/>
        <v>5995.5858455882353</v>
      </c>
      <c r="F43" s="17">
        <f t="shared" si="1"/>
        <v>0.71969614164979889</v>
      </c>
      <c r="G43" s="25">
        <f>($S$46+B43*$S$47)*$S$55</f>
        <v>4182.3408431685721</v>
      </c>
      <c r="H43" s="34"/>
      <c r="I43" s="25">
        <f t="shared" si="2"/>
        <v>-132.65915683142794</v>
      </c>
      <c r="J43" s="25">
        <f t="shared" si="3"/>
        <v>132.65915683142794</v>
      </c>
      <c r="K43" s="25">
        <f>SUM($I$29:I43)</f>
        <v>610.25874199582404</v>
      </c>
      <c r="L43" s="25">
        <f>SUMSQ($I$29:I43)/B43</f>
        <v>404114.94865773461</v>
      </c>
      <c r="M43" s="25">
        <f>SUM($J$29:J43)/B43</f>
        <v>489.82170601902311</v>
      </c>
      <c r="N43" s="25">
        <f t="shared" si="4"/>
        <v>3.0743721166031968</v>
      </c>
      <c r="O43" s="25">
        <f>AVERAGE($N$29:N43)</f>
        <v>11.621390327869539</v>
      </c>
      <c r="P43" s="41">
        <f>SUM($I$29:I43)/M43</f>
        <v>1.2458793362908329</v>
      </c>
      <c r="R43" s="4" t="s">
        <v>0</v>
      </c>
      <c r="S43" s="4">
        <v>15</v>
      </c>
      <c r="T43" s="4">
        <v>19168890.99609375</v>
      </c>
      <c r="U43" s="4"/>
      <c r="V43" s="4"/>
      <c r="W43" s="4"/>
    </row>
    <row r="44" spans="1:26" ht="13.5" thickBot="1" x14ac:dyDescent="0.25">
      <c r="A44" s="46" t="s">
        <v>3</v>
      </c>
      <c r="B44" s="13">
        <v>16</v>
      </c>
      <c r="C44" s="78">
        <v>12035</v>
      </c>
      <c r="D44" s="15">
        <f t="shared" si="5"/>
        <v>6509.25</v>
      </c>
      <c r="E44" s="15">
        <f t="shared" si="0"/>
        <v>6222.4417279411755</v>
      </c>
      <c r="F44" s="17">
        <f t="shared" si="1"/>
        <v>1.934128196967789</v>
      </c>
      <c r="G44" s="25">
        <f>($S$46+B44*$S$47)*$S$56</f>
        <v>11202.197015934968</v>
      </c>
      <c r="H44" s="34"/>
      <c r="I44" s="25">
        <f t="shared" si="2"/>
        <v>-832.80298406503243</v>
      </c>
      <c r="J44" s="25">
        <f t="shared" si="3"/>
        <v>832.80298406503243</v>
      </c>
      <c r="K44" s="25">
        <f>SUM($I$29:I44)</f>
        <v>-222.54424206920839</v>
      </c>
      <c r="L44" s="25">
        <f>SUMSQ($I$29:I44)/B44</f>
        <v>422205.31500835263</v>
      </c>
      <c r="M44" s="25">
        <f>SUM($J$29:J44)/B44</f>
        <v>511.25803589689872</v>
      </c>
      <c r="N44" s="25">
        <f t="shared" si="4"/>
        <v>6.919841994723992</v>
      </c>
      <c r="O44" s="25">
        <f>AVERAGE($N$29:N44)</f>
        <v>11.327543557047942</v>
      </c>
      <c r="P44" s="41">
        <f>SUM($I$29:I44)/M44</f>
        <v>-0.43528751910725388</v>
      </c>
    </row>
    <row r="45" spans="1:26" x14ac:dyDescent="0.2">
      <c r="A45" s="46" t="s">
        <v>4</v>
      </c>
      <c r="B45" s="13">
        <v>17</v>
      </c>
      <c r="C45" s="78">
        <v>5648</v>
      </c>
      <c r="D45" s="15">
        <f t="shared" si="5"/>
        <v>6489.5</v>
      </c>
      <c r="E45" s="15">
        <f t="shared" si="0"/>
        <v>6449.2976102941157</v>
      </c>
      <c r="F45" s="17">
        <f t="shared" si="1"/>
        <v>0.8757542822934522</v>
      </c>
      <c r="G45" s="25">
        <f>($S$46+B45*$S$47)*$S$53</f>
        <v>5799.718932576473</v>
      </c>
      <c r="H45" s="34"/>
      <c r="I45" s="25">
        <f t="shared" si="2"/>
        <v>151.71893257647298</v>
      </c>
      <c r="J45" s="25">
        <f t="shared" si="3"/>
        <v>151.71893257647298</v>
      </c>
      <c r="K45" s="25">
        <f>SUM($I$29:I45)</f>
        <v>-70.825309492735414</v>
      </c>
      <c r="L45" s="25">
        <f>SUMSQ($I$29:I45)/B45</f>
        <v>398723.74556681095</v>
      </c>
      <c r="M45" s="25">
        <f>SUM($J$29:J45)/B45</f>
        <v>490.10867687805018</v>
      </c>
      <c r="N45" s="25">
        <f t="shared" si="4"/>
        <v>2.6862417240876941</v>
      </c>
      <c r="O45" s="25">
        <f>AVERAGE($N$29:N45)</f>
        <v>10.819231684520869</v>
      </c>
      <c r="P45" s="41">
        <f>SUM($I$29:I45)/M45</f>
        <v>-0.14450939727059414</v>
      </c>
      <c r="R45" s="5"/>
      <c r="S45" s="5" t="s">
        <v>26</v>
      </c>
      <c r="T45" s="5" t="s">
        <v>15</v>
      </c>
      <c r="U45" s="5" t="s">
        <v>27</v>
      </c>
      <c r="V45" s="5" t="s">
        <v>28</v>
      </c>
      <c r="W45" s="5" t="s">
        <v>29</v>
      </c>
      <c r="X45" s="5" t="s">
        <v>30</v>
      </c>
      <c r="Y45" s="5" t="s">
        <v>31</v>
      </c>
      <c r="Z45" s="5" t="s">
        <v>32</v>
      </c>
    </row>
    <row r="46" spans="1:26" x14ac:dyDescent="0.2">
      <c r="A46" s="46" t="s">
        <v>48</v>
      </c>
      <c r="B46" s="13">
        <v>18</v>
      </c>
      <c r="C46" s="78">
        <v>3696</v>
      </c>
      <c r="D46" s="15">
        <f>(C44+C48+2*SUM(C45:C47))/(2*4)</f>
        <v>6688.25</v>
      </c>
      <c r="E46" s="15">
        <f t="shared" si="0"/>
        <v>6676.1534926470576</v>
      </c>
      <c r="F46" s="17">
        <f t="shared" si="1"/>
        <v>0.55361219661451444</v>
      </c>
      <c r="G46" s="25">
        <f>($S$46+B46*$S$47)*$S$54</f>
        <v>3998.1835494492211</v>
      </c>
      <c r="H46" s="34"/>
      <c r="I46" s="25">
        <f t="shared" si="2"/>
        <v>302.18354944922112</v>
      </c>
      <c r="J46" s="25">
        <f t="shared" si="3"/>
        <v>302.18354944922112</v>
      </c>
      <c r="K46" s="25">
        <f>SUM($I$29:I46)</f>
        <v>231.3582399564857</v>
      </c>
      <c r="L46" s="25">
        <f>SUMSQ($I$29:I46)/B46</f>
        <v>381645.47623297316</v>
      </c>
      <c r="M46" s="25">
        <f>SUM($J$29:J46)/B46</f>
        <v>479.66839202089301</v>
      </c>
      <c r="N46" s="25">
        <f t="shared" si="4"/>
        <v>8.1759618357473247</v>
      </c>
      <c r="O46" s="25">
        <f>AVERAGE($N$29:N46)</f>
        <v>10.672383359589006</v>
      </c>
      <c r="P46" s="41">
        <f>SUM($I$29:I46)/M46</f>
        <v>0.4823295505917104</v>
      </c>
      <c r="R46" s="3" t="s">
        <v>20</v>
      </c>
      <c r="S46" s="3">
        <v>2592.7476102941223</v>
      </c>
      <c r="T46" s="3">
        <v>214.87342197555552</v>
      </c>
      <c r="U46" s="3">
        <v>12.066395119769997</v>
      </c>
      <c r="V46" s="3">
        <v>8.7135037626668923E-9</v>
      </c>
      <c r="W46" s="3">
        <v>2131.889545340191</v>
      </c>
      <c r="X46" s="3">
        <v>3053.6056752480536</v>
      </c>
      <c r="Y46" s="3">
        <v>2131.889545340191</v>
      </c>
      <c r="Z46" s="3">
        <v>3053.6056752480536</v>
      </c>
    </row>
    <row r="47" spans="1:26" ht="13.5" thickBot="1" x14ac:dyDescent="0.25">
      <c r="A47" s="46" t="s">
        <v>5</v>
      </c>
      <c r="B47" s="13">
        <v>19</v>
      </c>
      <c r="C47" s="78">
        <v>4843</v>
      </c>
      <c r="D47" s="15"/>
      <c r="E47" s="15">
        <f t="shared" si="0"/>
        <v>6903.0093749999978</v>
      </c>
      <c r="F47" s="17">
        <f t="shared" si="1"/>
        <v>0.70157807079611589</v>
      </c>
      <c r="G47" s="25">
        <f>($S$46+B47*$S$47)*$S$55</f>
        <v>4815.3322783431022</v>
      </c>
      <c r="H47" s="34"/>
      <c r="I47" s="25">
        <f t="shared" si="2"/>
        <v>-27.667721656897811</v>
      </c>
      <c r="J47" s="25">
        <f t="shared" si="3"/>
        <v>27.667721656897811</v>
      </c>
      <c r="K47" s="25">
        <f>SUM($I$29:I47)</f>
        <v>203.69051829958789</v>
      </c>
      <c r="L47" s="25">
        <f>SUMSQ($I$29:I47)/B47</f>
        <v>361599.16184290528</v>
      </c>
      <c r="M47" s="25">
        <f>SUM($J$29:J47)/B47</f>
        <v>455.87888305436701</v>
      </c>
      <c r="N47" s="25">
        <f t="shared" si="4"/>
        <v>0.57129303441870349</v>
      </c>
      <c r="O47" s="25">
        <f>AVERAGE($N$29:N47)</f>
        <v>10.140747026685306</v>
      </c>
      <c r="P47" s="41">
        <f>SUM($I$29:I47)/M47</f>
        <v>0.44680840870467836</v>
      </c>
      <c r="R47" s="4" t="s">
        <v>33</v>
      </c>
      <c r="S47" s="4">
        <v>226.85588235294082</v>
      </c>
      <c r="T47" s="4">
        <v>18.737852840192854</v>
      </c>
      <c r="U47" s="4">
        <v>12.106823780061557</v>
      </c>
      <c r="V47" s="4">
        <v>8.3468733879588323E-9</v>
      </c>
      <c r="W47" s="4">
        <v>186.6671492749839</v>
      </c>
      <c r="X47" s="4">
        <v>267.04461543089775</v>
      </c>
      <c r="Y47" s="4">
        <v>186.6671492749839</v>
      </c>
      <c r="Z47" s="4">
        <v>267.04461543089775</v>
      </c>
    </row>
    <row r="48" spans="1:26" ht="13.5" thickBot="1" x14ac:dyDescent="0.25">
      <c r="A48" s="46" t="s">
        <v>3</v>
      </c>
      <c r="B48" s="13">
        <v>20</v>
      </c>
      <c r="C48" s="79">
        <v>13097</v>
      </c>
      <c r="D48" s="16"/>
      <c r="E48" s="16">
        <f t="shared" si="0"/>
        <v>7129.865257352938</v>
      </c>
      <c r="F48" s="18">
        <f t="shared" si="1"/>
        <v>1.8369211096231073</v>
      </c>
      <c r="G48" s="26">
        <f>($S$46+B48*$S$47)*$S$56</f>
        <v>12835.822142180861</v>
      </c>
      <c r="H48" s="34"/>
      <c r="I48" s="26">
        <f t="shared" si="2"/>
        <v>-261.17785781913881</v>
      </c>
      <c r="J48" s="26">
        <f t="shared" si="3"/>
        <v>261.17785781913881</v>
      </c>
      <c r="K48" s="26">
        <f>SUM($I$29:I48)</f>
        <v>-57.487339519550915</v>
      </c>
      <c r="L48" s="26">
        <f>SUMSQ($I$29:I48)/B48</f>
        <v>346929.89742150973</v>
      </c>
      <c r="M48" s="25">
        <f>SUM($J$29:J48)/B48</f>
        <v>446.14383179260557</v>
      </c>
      <c r="N48" s="26">
        <f t="shared" si="4"/>
        <v>1.9941807881128413</v>
      </c>
      <c r="O48" s="26">
        <f>AVERAGE($N$29:N48)</f>
        <v>9.7334187147566826</v>
      </c>
      <c r="P48" s="42">
        <f>SUM($I$29:I48)/M48</f>
        <v>-0.12885382565655301</v>
      </c>
    </row>
    <row r="49" spans="1:19" ht="13.5" thickBot="1" x14ac:dyDescent="0.25">
      <c r="A49" s="45" t="s">
        <v>4</v>
      </c>
      <c r="B49" s="58">
        <v>21</v>
      </c>
      <c r="C49" s="52"/>
      <c r="D49" s="53"/>
      <c r="E49" s="53"/>
      <c r="F49" s="54"/>
      <c r="G49" s="27">
        <f>($S$46+B49*$S$47)*$S$53</f>
        <v>6615.746001166779</v>
      </c>
      <c r="H49" s="34"/>
      <c r="I49" s="34"/>
      <c r="J49" s="34"/>
      <c r="K49" s="34"/>
      <c r="L49" s="74" t="s">
        <v>62</v>
      </c>
      <c r="M49" s="75">
        <f>1.25*M48</f>
        <v>557.67978974075697</v>
      </c>
      <c r="O49" s="34"/>
      <c r="P49" s="35"/>
    </row>
    <row r="50" spans="1:19" x14ac:dyDescent="0.2">
      <c r="A50" s="46" t="s">
        <v>48</v>
      </c>
      <c r="B50" s="13">
        <v>22</v>
      </c>
      <c r="C50" s="52"/>
      <c r="D50" s="53"/>
      <c r="E50" s="53"/>
      <c r="F50" s="54"/>
      <c r="G50" s="28">
        <f>($S$46+B50*$S$47)*$S$54</f>
        <v>4541.6171046652744</v>
      </c>
      <c r="H50" s="34"/>
      <c r="I50" s="34"/>
      <c r="J50" s="34"/>
      <c r="K50" s="34"/>
      <c r="L50" s="34"/>
      <c r="M50" s="34"/>
      <c r="N50" s="34"/>
      <c r="O50" s="34"/>
      <c r="P50" s="35"/>
    </row>
    <row r="51" spans="1:19" x14ac:dyDescent="0.2">
      <c r="A51" s="46" t="s">
        <v>5</v>
      </c>
      <c r="B51" s="13">
        <v>23</v>
      </c>
      <c r="C51" s="52"/>
      <c r="D51" s="53"/>
      <c r="E51" s="53"/>
      <c r="F51" s="54"/>
      <c r="G51" s="28">
        <f>($S$46+B51*$S$47)*$S$55</f>
        <v>5448.3237135176323</v>
      </c>
      <c r="H51" s="34"/>
      <c r="I51" s="34"/>
      <c r="J51" s="34"/>
      <c r="K51" s="34"/>
      <c r="L51" s="34"/>
      <c r="M51" s="34"/>
      <c r="N51" s="34"/>
      <c r="O51" s="34"/>
      <c r="P51" s="35"/>
      <c r="R51" s="9"/>
      <c r="S51" s="10"/>
    </row>
    <row r="52" spans="1:19" x14ac:dyDescent="0.2">
      <c r="A52" s="46" t="s">
        <v>3</v>
      </c>
      <c r="B52" s="13">
        <v>24</v>
      </c>
      <c r="C52" s="52"/>
      <c r="D52" s="53"/>
      <c r="E52" s="53"/>
      <c r="F52" s="54"/>
      <c r="G52" s="28">
        <f>($S$46+B52*$S$47)*$S$56</f>
        <v>14469.447268426758</v>
      </c>
      <c r="H52" s="34"/>
      <c r="I52" s="34"/>
      <c r="J52" s="34"/>
      <c r="K52" s="34"/>
      <c r="L52" s="34"/>
      <c r="M52" s="34"/>
      <c r="N52" s="34"/>
      <c r="O52" s="34"/>
      <c r="P52" s="35"/>
      <c r="R52" s="87" t="s">
        <v>63</v>
      </c>
      <c r="S52" s="10"/>
    </row>
    <row r="53" spans="1:19" x14ac:dyDescent="0.2">
      <c r="A53" s="46" t="s">
        <v>4</v>
      </c>
      <c r="B53" s="13">
        <v>25</v>
      </c>
      <c r="C53" s="52"/>
      <c r="D53" s="53"/>
      <c r="E53" s="53"/>
      <c r="F53" s="54"/>
      <c r="G53" s="27">
        <f>($S$46+B53*$S$47)*$S$53</f>
        <v>7431.7730697570832</v>
      </c>
      <c r="H53" s="34"/>
      <c r="I53" s="34"/>
      <c r="J53" s="34"/>
      <c r="K53" s="34"/>
      <c r="L53" s="34"/>
      <c r="M53" s="34"/>
      <c r="N53" s="34"/>
      <c r="O53" s="34"/>
      <c r="P53" s="35"/>
      <c r="R53" s="9" t="s">
        <v>64</v>
      </c>
      <c r="S53" s="20">
        <f>(F29+F33+F37+F41+F45)/5</f>
        <v>0.89927915922490365</v>
      </c>
    </row>
    <row r="54" spans="1:19" x14ac:dyDescent="0.2">
      <c r="A54" s="46" t="s">
        <v>48</v>
      </c>
      <c r="B54" s="13">
        <v>26</v>
      </c>
      <c r="C54" s="52"/>
      <c r="D54" s="53"/>
      <c r="E54" s="53"/>
      <c r="F54" s="54"/>
      <c r="G54" s="28">
        <f t="shared" ref="G54:G60" si="6">($S$46+B54*$S$47)*$S$53</f>
        <v>7635.7798369046604</v>
      </c>
      <c r="H54" s="34"/>
      <c r="I54" s="34"/>
      <c r="J54" s="34"/>
      <c r="K54" s="34"/>
      <c r="L54" s="34"/>
      <c r="M54" s="34"/>
      <c r="N54" s="34"/>
      <c r="O54" s="34"/>
      <c r="P54" s="35"/>
      <c r="R54" s="12" t="s">
        <v>65</v>
      </c>
      <c r="S54" s="20">
        <f>(F30+F34+F38+F42+F46)/5</f>
        <v>0.59887531852775955</v>
      </c>
    </row>
    <row r="55" spans="1:19" x14ac:dyDescent="0.2">
      <c r="A55" s="46" t="s">
        <v>5</v>
      </c>
      <c r="B55" s="13">
        <v>27</v>
      </c>
      <c r="C55" s="52"/>
      <c r="D55" s="53"/>
      <c r="E55" s="53"/>
      <c r="F55" s="54"/>
      <c r="G55" s="28">
        <f t="shared" si="6"/>
        <v>7839.7866040522358</v>
      </c>
      <c r="H55" s="34"/>
      <c r="I55" s="34"/>
      <c r="J55" s="34"/>
      <c r="K55" s="34"/>
      <c r="L55" s="34"/>
      <c r="M55" s="34"/>
      <c r="N55" s="34"/>
      <c r="O55" s="34"/>
      <c r="P55" s="35"/>
      <c r="R55" s="12" t="s">
        <v>5</v>
      </c>
      <c r="S55" s="20">
        <f>(F31+F35+F39+F43+F47)/5</f>
        <v>0.69757000414664849</v>
      </c>
    </row>
    <row r="56" spans="1:19" x14ac:dyDescent="0.2">
      <c r="A56" s="46" t="s">
        <v>3</v>
      </c>
      <c r="B56" s="13">
        <v>28</v>
      </c>
      <c r="C56" s="52"/>
      <c r="D56" s="53"/>
      <c r="E56" s="53"/>
      <c r="F56" s="54"/>
      <c r="G56" s="28">
        <f t="shared" si="6"/>
        <v>8043.7933711998121</v>
      </c>
      <c r="H56" s="34"/>
      <c r="I56" s="34"/>
      <c r="J56" s="34"/>
      <c r="K56" s="34"/>
      <c r="L56" s="34"/>
      <c r="M56" s="34"/>
      <c r="N56" s="34"/>
      <c r="O56" s="34"/>
      <c r="P56" s="35"/>
      <c r="R56" s="19" t="s">
        <v>3</v>
      </c>
      <c r="S56" s="20">
        <f>(F32+F36+F40+F44+F48)/5</f>
        <v>1.800289581762214</v>
      </c>
    </row>
    <row r="57" spans="1:19" x14ac:dyDescent="0.2">
      <c r="A57" s="46" t="s">
        <v>4</v>
      </c>
      <c r="B57" s="13">
        <v>29</v>
      </c>
      <c r="C57" s="52"/>
      <c r="D57" s="53"/>
      <c r="E57" s="53"/>
      <c r="F57" s="54"/>
      <c r="G57" s="27">
        <f t="shared" si="6"/>
        <v>8247.8001383473893</v>
      </c>
      <c r="H57" s="34"/>
      <c r="I57" s="34"/>
      <c r="J57" s="34"/>
      <c r="K57" s="34"/>
      <c r="L57" s="34"/>
      <c r="M57" s="34"/>
      <c r="N57" s="34"/>
      <c r="O57" s="34"/>
      <c r="P57" s="35"/>
      <c r="R57" s="55"/>
      <c r="S57" s="67"/>
    </row>
    <row r="58" spans="1:19" x14ac:dyDescent="0.2">
      <c r="A58" s="46" t="s">
        <v>48</v>
      </c>
      <c r="B58" s="13">
        <v>30</v>
      </c>
      <c r="C58" s="52"/>
      <c r="D58" s="53"/>
      <c r="E58" s="53"/>
      <c r="F58" s="54"/>
      <c r="G58" s="28">
        <f t="shared" si="6"/>
        <v>8451.8069054949647</v>
      </c>
      <c r="H58" s="34"/>
      <c r="I58" s="34"/>
      <c r="J58" s="34"/>
      <c r="K58" s="34"/>
      <c r="L58" s="34"/>
      <c r="M58" s="34"/>
      <c r="N58" s="34"/>
      <c r="O58" s="34"/>
      <c r="P58" s="35"/>
      <c r="R58" s="55"/>
      <c r="S58" s="67"/>
    </row>
    <row r="59" spans="1:19" x14ac:dyDescent="0.2">
      <c r="A59" s="46" t="s">
        <v>5</v>
      </c>
      <c r="B59" s="13">
        <v>31</v>
      </c>
      <c r="C59" s="52"/>
      <c r="D59" s="53"/>
      <c r="E59" s="53"/>
      <c r="F59" s="54"/>
      <c r="G59" s="28">
        <f t="shared" si="6"/>
        <v>8655.81367264254</v>
      </c>
      <c r="H59" s="34"/>
      <c r="I59" s="34"/>
      <c r="J59" s="34"/>
      <c r="K59" s="34"/>
      <c r="L59" s="34"/>
      <c r="M59" s="34"/>
      <c r="N59" s="34"/>
      <c r="O59" s="34"/>
      <c r="P59" s="35"/>
      <c r="R59" s="55"/>
      <c r="S59" s="67"/>
    </row>
    <row r="60" spans="1:19" x14ac:dyDescent="0.2">
      <c r="A60" s="47" t="s">
        <v>3</v>
      </c>
      <c r="B60" s="14">
        <v>32</v>
      </c>
      <c r="C60" s="52"/>
      <c r="D60" s="53"/>
      <c r="E60" s="53"/>
      <c r="F60" s="54"/>
      <c r="G60" s="29">
        <f t="shared" si="6"/>
        <v>8859.8204397901172</v>
      </c>
      <c r="H60" s="34"/>
      <c r="I60" s="34"/>
      <c r="J60" s="34"/>
      <c r="K60" s="34"/>
      <c r="L60" s="34"/>
      <c r="M60" s="34"/>
      <c r="N60" s="34"/>
      <c r="O60" s="34"/>
      <c r="P60" s="35"/>
      <c r="R60" s="55"/>
      <c r="S60" s="67"/>
    </row>
    <row r="61" spans="1:19" x14ac:dyDescent="0.2">
      <c r="A61" s="1"/>
      <c r="B61" s="52"/>
      <c r="C61" s="52"/>
      <c r="D61" s="53"/>
      <c r="E61" s="53"/>
      <c r="F61" s="54"/>
      <c r="G61" s="34"/>
      <c r="H61" s="34"/>
      <c r="I61" s="34"/>
      <c r="J61" s="34"/>
      <c r="K61" s="34"/>
      <c r="L61" s="34"/>
      <c r="M61" s="34"/>
      <c r="N61" s="34"/>
      <c r="O61" s="34"/>
      <c r="P61" s="35"/>
    </row>
    <row r="62" spans="1:19" x14ac:dyDescent="0.2">
      <c r="A62" s="1"/>
      <c r="B62" s="52"/>
      <c r="C62" s="52"/>
      <c r="D62" s="53"/>
      <c r="E62" s="53"/>
      <c r="F62" s="54"/>
      <c r="G62" s="34"/>
      <c r="H62" s="34"/>
      <c r="I62" s="34"/>
      <c r="J62" s="34"/>
      <c r="K62" s="34"/>
      <c r="L62" s="34"/>
      <c r="M62" s="34"/>
      <c r="N62" s="34"/>
      <c r="O62" s="34"/>
      <c r="P62" s="35"/>
    </row>
    <row r="63" spans="1:19" ht="15.75" x14ac:dyDescent="0.25">
      <c r="A63" s="59" t="s">
        <v>52</v>
      </c>
      <c r="B63" s="51"/>
      <c r="F63" s="2"/>
      <c r="O63"/>
      <c r="P63" s="39"/>
    </row>
    <row r="64" spans="1:19" s="31" customFormat="1" ht="45.75" customHeight="1" x14ac:dyDescent="0.3">
      <c r="A64" s="30" t="s">
        <v>2</v>
      </c>
      <c r="B64" s="30" t="s">
        <v>6</v>
      </c>
      <c r="C64" s="30" t="s">
        <v>7</v>
      </c>
      <c r="D64" s="30" t="s">
        <v>36</v>
      </c>
      <c r="E64" s="30" t="s">
        <v>37</v>
      </c>
      <c r="F64" s="30" t="s">
        <v>8</v>
      </c>
      <c r="G64" s="32" t="s">
        <v>9</v>
      </c>
      <c r="H64" s="33"/>
      <c r="I64" s="30" t="s">
        <v>38</v>
      </c>
      <c r="J64" s="30" t="s">
        <v>39</v>
      </c>
      <c r="K64" s="30" t="s">
        <v>43</v>
      </c>
      <c r="L64" s="30" t="s">
        <v>40</v>
      </c>
      <c r="M64" s="30" t="s">
        <v>41</v>
      </c>
      <c r="N64" s="30" t="s">
        <v>45</v>
      </c>
      <c r="O64" s="30" t="s">
        <v>42</v>
      </c>
      <c r="P64" s="40" t="s">
        <v>44</v>
      </c>
      <c r="R64" s="8" t="s">
        <v>68</v>
      </c>
    </row>
    <row r="65" spans="1:23" x14ac:dyDescent="0.2">
      <c r="A65" s="46" t="s">
        <v>4</v>
      </c>
      <c r="B65" s="13">
        <v>1</v>
      </c>
      <c r="C65" s="78">
        <v>3200</v>
      </c>
      <c r="D65" s="15"/>
      <c r="E65" s="60">
        <f>$S$82+B65*$S$83</f>
        <v>3875.9191176470631</v>
      </c>
      <c r="F65" s="17">
        <f>C65/E65</f>
        <v>0.82561062366611249</v>
      </c>
      <c r="G65" s="25">
        <f>($S$82+B65*$S$83)*$S$89</f>
        <v>2951.6420169785938</v>
      </c>
      <c r="H65" s="34"/>
      <c r="I65" s="25">
        <f>G65-C65</f>
        <v>-248.3579830214062</v>
      </c>
      <c r="J65" s="25">
        <f>ABS(I65)</f>
        <v>248.3579830214062</v>
      </c>
      <c r="K65" s="72">
        <f>SUM($I$65:I65)</f>
        <v>-248.3579830214062</v>
      </c>
      <c r="L65" s="72">
        <f>SUMSQ($I$65:I65)/B65</f>
        <v>61681.68773046109</v>
      </c>
      <c r="M65" s="72">
        <f>SUM($J$65:J65)/B65</f>
        <v>248.3579830214062</v>
      </c>
      <c r="N65" s="72">
        <f>J65/C65*100</f>
        <v>7.7611869694189446</v>
      </c>
      <c r="O65" s="72">
        <f>AVERAGE($N$65:N65)</f>
        <v>7.7611869694189446</v>
      </c>
      <c r="P65" s="73">
        <f>SUM($I$65:I65)/M65</f>
        <v>-1</v>
      </c>
    </row>
    <row r="66" spans="1:23" x14ac:dyDescent="0.2">
      <c r="A66" s="46" t="s">
        <v>48</v>
      </c>
      <c r="B66" s="13">
        <v>2</v>
      </c>
      <c r="C66" s="78">
        <v>7658</v>
      </c>
      <c r="D66" s="15"/>
      <c r="E66" s="15">
        <f t="shared" ref="E66:E84" si="7">$S$82+B66*$S$83</f>
        <v>4139.8593750000036</v>
      </c>
      <c r="F66" s="17">
        <f t="shared" ref="F66:F84" si="8">C66/E66</f>
        <v>1.8498212877098013</v>
      </c>
      <c r="G66" s="25">
        <f>($S$82+B66*$S$83)*$S$90</f>
        <v>7862.4803907595133</v>
      </c>
      <c r="H66" s="34"/>
      <c r="I66" s="25">
        <f t="shared" ref="I66:I84" si="9">G66-C66</f>
        <v>204.48039075951328</v>
      </c>
      <c r="J66" s="25">
        <f t="shared" si="3"/>
        <v>204.48039075951328</v>
      </c>
      <c r="K66" s="25">
        <f>SUM($I$65:I66)</f>
        <v>-43.877592261892914</v>
      </c>
      <c r="L66" s="25">
        <f>SUMSQ($I$65:I66)/B66</f>
        <v>51746.95896781217</v>
      </c>
      <c r="M66" s="25">
        <f>SUM($J$65:J66)/B66</f>
        <v>226.41918689045974</v>
      </c>
      <c r="N66" s="25">
        <f t="shared" ref="N66:N84" si="10">J66/C66*100</f>
        <v>2.6701539665645506</v>
      </c>
      <c r="O66" s="25">
        <f>AVERAGE($N$65:N66)</f>
        <v>5.2156704679917478</v>
      </c>
      <c r="P66" s="41">
        <f>SUM($I$65:I66)/M66</f>
        <v>-0.19378919633308564</v>
      </c>
      <c r="R66" t="s">
        <v>10</v>
      </c>
    </row>
    <row r="67" spans="1:23" ht="13.5" thickBot="1" x14ac:dyDescent="0.25">
      <c r="A67" s="46" t="s">
        <v>5</v>
      </c>
      <c r="B67" s="13">
        <v>3</v>
      </c>
      <c r="C67" s="78">
        <v>4420</v>
      </c>
      <c r="D67" s="15">
        <f>(C65+C69+2*SUM(C66:C68))/(2*4)</f>
        <v>4472.25</v>
      </c>
      <c r="E67" s="15">
        <f t="shared" si="7"/>
        <v>4403.7996323529442</v>
      </c>
      <c r="F67" s="17">
        <f t="shared" si="8"/>
        <v>1.0036787249646959</v>
      </c>
      <c r="G67" s="25">
        <f>($S$82+B67*$S$83)*$S$91</f>
        <v>4174.9902084431469</v>
      </c>
      <c r="H67" s="34"/>
      <c r="I67" s="25">
        <f t="shared" si="9"/>
        <v>-245.00979155685309</v>
      </c>
      <c r="J67" s="25">
        <f t="shared" si="3"/>
        <v>245.00979155685309</v>
      </c>
      <c r="K67" s="25">
        <f>SUM($I$65:I67)</f>
        <v>-288.887383818746</v>
      </c>
      <c r="L67" s="25">
        <f>SUMSQ($I$65:I67)/B67</f>
        <v>54507.905298118982</v>
      </c>
      <c r="M67" s="25">
        <f>SUM($J$65:J67)/B67</f>
        <v>232.61605511259086</v>
      </c>
      <c r="N67" s="25">
        <f t="shared" si="10"/>
        <v>5.5432079537749566</v>
      </c>
      <c r="O67" s="25">
        <f>AVERAGE($N$65:N67)</f>
        <v>5.3248496299194841</v>
      </c>
      <c r="P67" s="41">
        <f>SUM($I$65:I67)/M67</f>
        <v>-1.2419064697787894</v>
      </c>
    </row>
    <row r="68" spans="1:23" x14ac:dyDescent="0.2">
      <c r="A68" s="46" t="s">
        <v>3</v>
      </c>
      <c r="B68" s="13">
        <v>4</v>
      </c>
      <c r="C68" s="78">
        <v>2384</v>
      </c>
      <c r="D68" s="15">
        <f t="shared" ref="D68:D82" si="11">(C66+C70+2*SUM(C67:C69))/(2*4)</f>
        <v>4656.75</v>
      </c>
      <c r="E68" s="15">
        <f t="shared" si="7"/>
        <v>4667.7398897058856</v>
      </c>
      <c r="F68" s="17">
        <f t="shared" si="8"/>
        <v>0.51073968480069176</v>
      </c>
      <c r="G68" s="25">
        <f>($S$82+B68*$S$83)*$S$92</f>
        <v>1935.677962635295</v>
      </c>
      <c r="H68" s="34"/>
      <c r="I68" s="25">
        <f t="shared" si="9"/>
        <v>-448.32203736470501</v>
      </c>
      <c r="J68" s="25">
        <f t="shared" si="3"/>
        <v>448.32203736470501</v>
      </c>
      <c r="K68" s="25">
        <f>SUM($I$65:I68)</f>
        <v>-737.20942118345101</v>
      </c>
      <c r="L68" s="25">
        <f>SUMSQ($I$65:I68)/B68</f>
        <v>91129.091270299221</v>
      </c>
      <c r="M68" s="25">
        <f>SUM($J$65:J68)/B68</f>
        <v>286.5425506756194</v>
      </c>
      <c r="N68" s="25">
        <f t="shared" si="10"/>
        <v>18.805454587445681</v>
      </c>
      <c r="O68" s="25">
        <f>AVERAGE($N$65:N68)</f>
        <v>8.6950008693010332</v>
      </c>
      <c r="P68" s="41">
        <f>SUM($I$65:I68)/M68</f>
        <v>-2.5727746871982347</v>
      </c>
      <c r="R68" s="6" t="s">
        <v>11</v>
      </c>
      <c r="S68" s="6"/>
    </row>
    <row r="69" spans="1:23" x14ac:dyDescent="0.2">
      <c r="A69" s="46" t="s">
        <v>4</v>
      </c>
      <c r="B69" s="13">
        <v>5</v>
      </c>
      <c r="C69" s="78">
        <v>3654</v>
      </c>
      <c r="D69" s="15">
        <f t="shared" si="11"/>
        <v>4943.875</v>
      </c>
      <c r="E69" s="15">
        <f t="shared" si="7"/>
        <v>4931.6801470588262</v>
      </c>
      <c r="F69" s="17">
        <f t="shared" si="8"/>
        <v>0.74092396324185505</v>
      </c>
      <c r="G69" s="25">
        <f>($S$82+B69*$S$83)*$S$89</f>
        <v>3755.6393450219325</v>
      </c>
      <c r="H69" s="34"/>
      <c r="I69" s="25">
        <f t="shared" si="9"/>
        <v>101.63934502193251</v>
      </c>
      <c r="J69" s="25">
        <f t="shared" si="3"/>
        <v>101.63934502193251</v>
      </c>
      <c r="K69" s="25">
        <f>SUM($I$65:I69)</f>
        <v>-635.5700761615185</v>
      </c>
      <c r="L69" s="25">
        <f>SUMSQ($I$65:I69)/B69</f>
        <v>74969.384307536864</v>
      </c>
      <c r="M69" s="25">
        <f>SUM($J$65:J69)/B69</f>
        <v>249.56190954488201</v>
      </c>
      <c r="N69" s="25">
        <f t="shared" si="10"/>
        <v>2.7815912704415027</v>
      </c>
      <c r="O69" s="25">
        <f>AVERAGE($N$65:N69)</f>
        <v>7.5123189495291269</v>
      </c>
      <c r="P69" s="41">
        <f>SUM($I$65:I69)/M69</f>
        <v>-2.5467431200562101</v>
      </c>
      <c r="R69" s="3" t="s">
        <v>12</v>
      </c>
      <c r="S69" s="3">
        <v>0.93104861399932304</v>
      </c>
    </row>
    <row r="70" spans="1:23" x14ac:dyDescent="0.2">
      <c r="A70" s="46" t="s">
        <v>48</v>
      </c>
      <c r="B70" s="13">
        <v>6</v>
      </c>
      <c r="C70" s="78">
        <v>8680</v>
      </c>
      <c r="D70" s="15">
        <f t="shared" si="11"/>
        <v>5049.375</v>
      </c>
      <c r="E70" s="15">
        <f t="shared" si="7"/>
        <v>5195.6204044117676</v>
      </c>
      <c r="F70" s="17">
        <f t="shared" si="8"/>
        <v>1.6706378303983744</v>
      </c>
      <c r="G70" s="25">
        <f>($S$82+B70*$S$83)*$S$90</f>
        <v>9867.5969029787393</v>
      </c>
      <c r="H70" s="34"/>
      <c r="I70" s="25">
        <f t="shared" si="9"/>
        <v>1187.5969029787393</v>
      </c>
      <c r="J70" s="25">
        <f t="shared" si="3"/>
        <v>1187.5969029787393</v>
      </c>
      <c r="K70" s="25">
        <f>SUM($I$65:I70)</f>
        <v>552.02682681722081</v>
      </c>
      <c r="L70" s="25">
        <f>SUMSQ($I$65:I70)/B70</f>
        <v>297538.88758372958</v>
      </c>
      <c r="M70" s="25">
        <f>SUM($J$65:J70)/B70</f>
        <v>405.90107511719157</v>
      </c>
      <c r="N70" s="25">
        <f t="shared" si="10"/>
        <v>13.681991969801144</v>
      </c>
      <c r="O70" s="25">
        <f>AVERAGE($N$65:N70)</f>
        <v>8.5405977862411309</v>
      </c>
      <c r="P70" s="41">
        <f>SUM($I$65:I70)/M70</f>
        <v>1.3600033620453946</v>
      </c>
      <c r="R70" s="3" t="s">
        <v>13</v>
      </c>
      <c r="S70" s="3">
        <v>0.86685152163006041</v>
      </c>
    </row>
    <row r="71" spans="1:23" x14ac:dyDescent="0.2">
      <c r="A71" s="46" t="s">
        <v>5</v>
      </c>
      <c r="B71" s="13">
        <v>7</v>
      </c>
      <c r="C71" s="78">
        <v>5695</v>
      </c>
      <c r="D71" s="15">
        <f t="shared" si="11"/>
        <v>5131.5</v>
      </c>
      <c r="E71" s="15">
        <f t="shared" si="7"/>
        <v>5459.5606617647081</v>
      </c>
      <c r="F71" s="17">
        <f t="shared" si="8"/>
        <v>1.0431242279043</v>
      </c>
      <c r="G71" s="25">
        <f>($S$82+B71*$S$83)*$S$91</f>
        <v>5175.8967728262523</v>
      </c>
      <c r="H71" s="34"/>
      <c r="I71" s="25">
        <f t="shared" si="9"/>
        <v>-519.10322717374765</v>
      </c>
      <c r="J71" s="25">
        <f t="shared" si="3"/>
        <v>519.10322717374765</v>
      </c>
      <c r="K71" s="25">
        <f>SUM($I$65:I71)</f>
        <v>32.923599643473153</v>
      </c>
      <c r="L71" s="25">
        <f>SUMSQ($I$65:I71)/B71</f>
        <v>293528.7837092253</v>
      </c>
      <c r="M71" s="25">
        <f>SUM($J$65:J71)/B71</f>
        <v>422.07281112527102</v>
      </c>
      <c r="N71" s="25">
        <f t="shared" si="10"/>
        <v>9.1150698362378861</v>
      </c>
      <c r="O71" s="25">
        <f>AVERAGE($N$65:N71)</f>
        <v>8.6226652219549518</v>
      </c>
      <c r="P71" s="41">
        <f>SUM($I$65:I71)/M71</f>
        <v>7.8004549868296164E-2</v>
      </c>
      <c r="R71" s="3" t="s">
        <v>14</v>
      </c>
      <c r="S71" s="3">
        <v>0.85734091603220752</v>
      </c>
    </row>
    <row r="72" spans="1:23" x14ac:dyDescent="0.2">
      <c r="A72" s="46" t="s">
        <v>3</v>
      </c>
      <c r="B72" s="13">
        <v>8</v>
      </c>
      <c r="C72" s="78">
        <v>1953</v>
      </c>
      <c r="D72" s="15">
        <f t="shared" si="11"/>
        <v>5891.625</v>
      </c>
      <c r="E72" s="15">
        <f t="shared" si="7"/>
        <v>5723.5009191176487</v>
      </c>
      <c r="F72" s="17">
        <f t="shared" si="8"/>
        <v>0.34122472025409933</v>
      </c>
      <c r="G72" s="25">
        <f>($S$82+B72*$S$83)*$S$92</f>
        <v>2373.4944234343288</v>
      </c>
      <c r="H72" s="34"/>
      <c r="I72" s="25">
        <f t="shared" si="9"/>
        <v>420.49442343432884</v>
      </c>
      <c r="J72" s="25">
        <f t="shared" si="3"/>
        <v>420.49442343432884</v>
      </c>
      <c r="K72" s="25">
        <f>SUM($I$65:I72)</f>
        <v>453.41802307780199</v>
      </c>
      <c r="L72" s="25">
        <f>SUMSQ($I$65:I72)/B72</f>
        <v>278939.63076299318</v>
      </c>
      <c r="M72" s="25">
        <f>SUM($J$65:J72)/B72</f>
        <v>421.87551266390324</v>
      </c>
      <c r="N72" s="25">
        <f t="shared" si="10"/>
        <v>21.530692444154063</v>
      </c>
      <c r="O72" s="25">
        <f>AVERAGE($N$65:N72)</f>
        <v>10.236168624729842</v>
      </c>
      <c r="P72" s="41">
        <f>SUM($I$65:I72)/M72</f>
        <v>1.0747673412346828</v>
      </c>
      <c r="R72" s="3" t="s">
        <v>15</v>
      </c>
      <c r="S72" s="3">
        <v>509.77299172652909</v>
      </c>
    </row>
    <row r="73" spans="1:23" ht="13.5" thickBot="1" x14ac:dyDescent="0.25">
      <c r="A73" s="46" t="s">
        <v>4</v>
      </c>
      <c r="B73" s="13">
        <v>9</v>
      </c>
      <c r="C73" s="78">
        <v>4742</v>
      </c>
      <c r="D73" s="15">
        <f t="shared" si="11"/>
        <v>6633.875</v>
      </c>
      <c r="E73" s="15">
        <f t="shared" si="7"/>
        <v>5987.4411764705892</v>
      </c>
      <c r="F73" s="17">
        <f t="shared" si="8"/>
        <v>0.79199107936710655</v>
      </c>
      <c r="G73" s="25">
        <f>($S$82+B73*$S$83)*$S$89</f>
        <v>4559.6366730652708</v>
      </c>
      <c r="H73" s="34"/>
      <c r="I73" s="25">
        <f t="shared" si="9"/>
        <v>-182.36332693472923</v>
      </c>
      <c r="J73" s="25">
        <f t="shared" si="3"/>
        <v>182.36332693472923</v>
      </c>
      <c r="K73" s="25">
        <f>SUM($I$65:I73)</f>
        <v>271.05469614307276</v>
      </c>
      <c r="L73" s="25">
        <f>SUMSQ($I$65:I73)/B73</f>
        <v>251641.49212384984</v>
      </c>
      <c r="M73" s="25">
        <f>SUM($J$65:J73)/B73</f>
        <v>395.26304758288393</v>
      </c>
      <c r="N73" s="25">
        <f t="shared" si="10"/>
        <v>3.845704912162152</v>
      </c>
      <c r="O73" s="25">
        <f>AVERAGE($N$65:N73)</f>
        <v>9.5261171011112094</v>
      </c>
      <c r="P73" s="41">
        <f>SUM($I$65:I73)/M73</f>
        <v>0.68575774487554253</v>
      </c>
      <c r="R73" s="4" t="s">
        <v>16</v>
      </c>
      <c r="S73" s="4">
        <v>16</v>
      </c>
    </row>
    <row r="74" spans="1:23" x14ac:dyDescent="0.2">
      <c r="A74" s="46" t="s">
        <v>48</v>
      </c>
      <c r="B74" s="13">
        <v>10</v>
      </c>
      <c r="C74" s="78">
        <v>13673</v>
      </c>
      <c r="D74" s="15">
        <f t="shared" si="11"/>
        <v>6850</v>
      </c>
      <c r="E74" s="15">
        <f t="shared" si="7"/>
        <v>6251.3814338235297</v>
      </c>
      <c r="F74" s="17">
        <f t="shared" si="8"/>
        <v>2.1871965652297733</v>
      </c>
      <c r="G74" s="25">
        <f>($S$82+B74*$S$83)*$S$90</f>
        <v>11872.713415197961</v>
      </c>
      <c r="H74" s="34"/>
      <c r="I74" s="25">
        <f t="shared" si="9"/>
        <v>-1800.2865848020392</v>
      </c>
      <c r="J74" s="25">
        <f t="shared" si="3"/>
        <v>1800.2865848020392</v>
      </c>
      <c r="K74" s="25">
        <f>SUM($I$65:I74)</f>
        <v>-1529.2318886589665</v>
      </c>
      <c r="L74" s="25">
        <f>SUMSQ($I$65:I74)/B74</f>
        <v>550580.52165328385</v>
      </c>
      <c r="M74" s="25">
        <f>SUM($J$65:J74)/B74</f>
        <v>535.76540130479941</v>
      </c>
      <c r="N74" s="25">
        <f t="shared" si="10"/>
        <v>13.166727015300514</v>
      </c>
      <c r="O74" s="25">
        <f>AVERAGE($N$65:N74)</f>
        <v>9.8901780925301388</v>
      </c>
      <c r="P74" s="41">
        <f>SUM($I$65:I74)/M74</f>
        <v>-2.8542938475211082</v>
      </c>
    </row>
    <row r="75" spans="1:23" ht="13.5" thickBot="1" x14ac:dyDescent="0.25">
      <c r="A75" s="46" t="s">
        <v>5</v>
      </c>
      <c r="B75" s="13">
        <v>11</v>
      </c>
      <c r="C75" s="78">
        <v>6640</v>
      </c>
      <c r="D75" s="15">
        <f t="shared" si="11"/>
        <v>6791</v>
      </c>
      <c r="E75" s="15">
        <f t="shared" si="7"/>
        <v>6515.3216911764712</v>
      </c>
      <c r="F75" s="17">
        <f t="shared" si="8"/>
        <v>1.0191361708190676</v>
      </c>
      <c r="G75" s="25">
        <f>($S$82+B75*$S$83)*$S$91</f>
        <v>6176.8033372093578</v>
      </c>
      <c r="H75" s="34"/>
      <c r="I75" s="25">
        <f t="shared" si="9"/>
        <v>-463.19666279064222</v>
      </c>
      <c r="J75" s="25">
        <f t="shared" si="3"/>
        <v>463.19666279064222</v>
      </c>
      <c r="K75" s="25">
        <f>SUM($I$65:I75)</f>
        <v>-1992.4285514496087</v>
      </c>
      <c r="L75" s="25">
        <f>SUMSQ($I$65:I75)/B75</f>
        <v>520032.39681392966</v>
      </c>
      <c r="M75" s="25">
        <f>SUM($J$65:J75)/B75</f>
        <v>529.16824325805783</v>
      </c>
      <c r="N75" s="25">
        <f t="shared" si="10"/>
        <v>6.9758533552807558</v>
      </c>
      <c r="O75" s="25">
        <f>AVERAGE($N$65:N75)</f>
        <v>9.6252394800529242</v>
      </c>
      <c r="P75" s="41">
        <f>SUM($I$65:I75)/M75</f>
        <v>-3.765208091820369</v>
      </c>
      <c r="R75" t="s">
        <v>17</v>
      </c>
    </row>
    <row r="76" spans="1:23" x14ac:dyDescent="0.2">
      <c r="A76" s="46" t="s">
        <v>3</v>
      </c>
      <c r="B76" s="13">
        <v>12</v>
      </c>
      <c r="C76" s="78">
        <v>2737</v>
      </c>
      <c r="D76" s="15">
        <f t="shared" si="11"/>
        <v>6573.125</v>
      </c>
      <c r="E76" s="15">
        <f t="shared" si="7"/>
        <v>6779.2619485294126</v>
      </c>
      <c r="F76" s="17">
        <f t="shared" si="8"/>
        <v>0.40373126466867415</v>
      </c>
      <c r="G76" s="25">
        <f>($S$82+B76*$S$83)*$S$92</f>
        <v>2811.3108842333631</v>
      </c>
      <c r="H76" s="34"/>
      <c r="I76" s="25">
        <f t="shared" si="9"/>
        <v>74.31088423336314</v>
      </c>
      <c r="J76" s="25">
        <f t="shared" si="3"/>
        <v>74.31088423336314</v>
      </c>
      <c r="K76" s="25">
        <f>SUM($I$65:I76)</f>
        <v>-1918.1176672162455</v>
      </c>
      <c r="L76" s="25">
        <f>SUMSQ($I$65:I76)/B76</f>
        <v>477156.53937239759</v>
      </c>
      <c r="M76" s="25">
        <f>SUM($J$65:J76)/B76</f>
        <v>491.26346333933333</v>
      </c>
      <c r="N76" s="25">
        <f t="shared" si="10"/>
        <v>2.7150487480220367</v>
      </c>
      <c r="O76" s="25">
        <f>AVERAGE($N$65:N76)</f>
        <v>9.0493902523836827</v>
      </c>
      <c r="P76" s="41">
        <f>SUM($I$65:I76)/M76</f>
        <v>-3.9044582191762403</v>
      </c>
      <c r="R76" s="5"/>
      <c r="S76" s="5" t="s">
        <v>21</v>
      </c>
      <c r="T76" s="5" t="s">
        <v>22</v>
      </c>
      <c r="U76" s="5" t="s">
        <v>23</v>
      </c>
      <c r="V76" s="5" t="s">
        <v>24</v>
      </c>
      <c r="W76" s="5" t="s">
        <v>25</v>
      </c>
    </row>
    <row r="77" spans="1:23" x14ac:dyDescent="0.2">
      <c r="A77" s="46" t="s">
        <v>4</v>
      </c>
      <c r="B77" s="13">
        <v>13</v>
      </c>
      <c r="C77" s="78">
        <v>3486</v>
      </c>
      <c r="D77" s="15">
        <f t="shared" si="11"/>
        <v>6363.25</v>
      </c>
      <c r="E77" s="15">
        <f t="shared" si="7"/>
        <v>7043.2022058823532</v>
      </c>
      <c r="F77" s="17">
        <f t="shared" si="8"/>
        <v>0.49494532431406796</v>
      </c>
      <c r="G77" s="25">
        <f>($S$82+B77*$S$83)*$S$89</f>
        <v>5363.6340011086104</v>
      </c>
      <c r="H77" s="34"/>
      <c r="I77" s="25">
        <f t="shared" si="9"/>
        <v>1877.6340011086104</v>
      </c>
      <c r="J77" s="25">
        <f t="shared" si="3"/>
        <v>1877.6340011086104</v>
      </c>
      <c r="K77" s="25">
        <f>SUM($I$65:I77)</f>
        <v>-40.483666107635145</v>
      </c>
      <c r="L77" s="25">
        <f>SUMSQ($I$65:I77)/B77</f>
        <v>711645.2241990692</v>
      </c>
      <c r="M77" s="25">
        <f>SUM($J$65:J77)/B77</f>
        <v>597.9073508600469</v>
      </c>
      <c r="N77" s="25">
        <f t="shared" si="10"/>
        <v>53.862134283092665</v>
      </c>
      <c r="O77" s="25">
        <f>AVERAGE($N$65:N77)</f>
        <v>12.496524408592068</v>
      </c>
      <c r="P77" s="41">
        <f>SUM($I$65:I77)/M77</f>
        <v>-6.7708928564605017E-2</v>
      </c>
      <c r="R77" s="3" t="s">
        <v>18</v>
      </c>
      <c r="S77" s="3">
        <v>1</v>
      </c>
      <c r="T77" s="3">
        <v>23685916.213522516</v>
      </c>
      <c r="U77" s="3">
        <v>23685916.213522516</v>
      </c>
      <c r="V77" s="3">
        <v>91.145775388453288</v>
      </c>
      <c r="W77" s="3">
        <v>1.653571094928248E-7</v>
      </c>
    </row>
    <row r="78" spans="1:23" x14ac:dyDescent="0.2">
      <c r="A78" s="46" t="s">
        <v>48</v>
      </c>
      <c r="B78" s="13">
        <v>14</v>
      </c>
      <c r="C78" s="78">
        <v>13186</v>
      </c>
      <c r="D78" s="15">
        <f t="shared" si="11"/>
        <v>6307.75</v>
      </c>
      <c r="E78" s="15">
        <f t="shared" si="7"/>
        <v>7307.1424632352937</v>
      </c>
      <c r="F78" s="17">
        <f t="shared" si="8"/>
        <v>1.8045357766518482</v>
      </c>
      <c r="G78" s="25">
        <f>($S$82+B78*$S$83)*$S$90</f>
        <v>13877.829927417188</v>
      </c>
      <c r="H78" s="34"/>
      <c r="I78" s="25">
        <f t="shared" si="9"/>
        <v>691.82992741718772</v>
      </c>
      <c r="J78" s="25">
        <f t="shared" si="3"/>
        <v>691.82992741718772</v>
      </c>
      <c r="K78" s="25">
        <f>SUM($I$65:I78)</f>
        <v>651.34626130955257</v>
      </c>
      <c r="L78" s="25">
        <f>SUMSQ($I$65:I78)/B78</f>
        <v>695001.18307556945</v>
      </c>
      <c r="M78" s="25">
        <f>SUM($J$65:J78)/B78</f>
        <v>604.61610632841416</v>
      </c>
      <c r="N78" s="25">
        <f t="shared" si="10"/>
        <v>5.2467004961109334</v>
      </c>
      <c r="O78" s="25">
        <f>AVERAGE($N$65:N78)</f>
        <v>11.978679843414843</v>
      </c>
      <c r="P78" s="41">
        <f>SUM($I$65:I78)/M78</f>
        <v>1.0772889681436233</v>
      </c>
      <c r="R78" s="3" t="s">
        <v>19</v>
      </c>
      <c r="S78" s="3">
        <v>14</v>
      </c>
      <c r="T78" s="3">
        <v>3638159.0433134218</v>
      </c>
      <c r="U78" s="3">
        <v>259868.50309381585</v>
      </c>
      <c r="V78" s="3"/>
      <c r="W78" s="3"/>
    </row>
    <row r="79" spans="1:23" ht="13.5" thickBot="1" x14ac:dyDescent="0.25">
      <c r="A79" s="46" t="s">
        <v>5</v>
      </c>
      <c r="B79" s="13">
        <v>15</v>
      </c>
      <c r="C79" s="78">
        <v>5448</v>
      </c>
      <c r="D79" s="15">
        <f t="shared" si="11"/>
        <v>6931.5</v>
      </c>
      <c r="E79" s="15">
        <f t="shared" si="7"/>
        <v>7571.0827205882342</v>
      </c>
      <c r="F79" s="17">
        <f t="shared" si="8"/>
        <v>0.71958003908544255</v>
      </c>
      <c r="G79" s="25">
        <f>($S$82+B79*$S$83)*$S$91</f>
        <v>7177.7099015924632</v>
      </c>
      <c r="H79" s="34"/>
      <c r="I79" s="25">
        <f t="shared" si="9"/>
        <v>1729.7099015924632</v>
      </c>
      <c r="J79" s="25">
        <f t="shared" si="3"/>
        <v>1729.7099015924632</v>
      </c>
      <c r="K79" s="25">
        <f>SUM($I$65:I79)</f>
        <v>2381.0561629020158</v>
      </c>
      <c r="L79" s="25">
        <f>SUMSQ($I$65:I79)/B79</f>
        <v>848127.52711499878</v>
      </c>
      <c r="M79" s="25">
        <f>SUM($J$65:J79)/B79</f>
        <v>679.62235934601745</v>
      </c>
      <c r="N79" s="25">
        <f t="shared" si="10"/>
        <v>31.749447532901311</v>
      </c>
      <c r="O79" s="25">
        <f>AVERAGE($N$65:N79)</f>
        <v>13.296731022713942</v>
      </c>
      <c r="P79" s="41">
        <f>SUM($I$65:I79)/M79</f>
        <v>3.5034988625054111</v>
      </c>
      <c r="R79" s="4" t="s">
        <v>0</v>
      </c>
      <c r="S79" s="4">
        <v>15</v>
      </c>
      <c r="T79" s="4">
        <v>27324075.256835937</v>
      </c>
      <c r="U79" s="4"/>
      <c r="V79" s="4"/>
      <c r="W79" s="4"/>
    </row>
    <row r="80" spans="1:23" ht="13.5" thickBot="1" x14ac:dyDescent="0.25">
      <c r="A80" s="46" t="s">
        <v>3</v>
      </c>
      <c r="B80" s="13">
        <v>16</v>
      </c>
      <c r="C80" s="78">
        <v>3485</v>
      </c>
      <c r="D80" s="15">
        <f t="shared" si="11"/>
        <v>7887.375</v>
      </c>
      <c r="E80" s="15">
        <f t="shared" si="7"/>
        <v>7835.0229779411748</v>
      </c>
      <c r="F80" s="17">
        <f t="shared" si="8"/>
        <v>0.44479767446907487</v>
      </c>
      <c r="G80" s="25">
        <f>($S$82+B80*$S$83)*$S$92</f>
        <v>3249.1273450323965</v>
      </c>
      <c r="H80" s="34"/>
      <c r="I80" s="25">
        <f t="shared" si="9"/>
        <v>-235.87265496760347</v>
      </c>
      <c r="J80" s="25">
        <f t="shared" si="3"/>
        <v>235.87265496760347</v>
      </c>
      <c r="K80" s="25">
        <f>SUM($I$65:I80)</f>
        <v>2145.1835079344123</v>
      </c>
      <c r="L80" s="25">
        <f>SUMSQ($I$65:I80)/B80</f>
        <v>798596.80100540305</v>
      </c>
      <c r="M80" s="25">
        <f>SUM($J$65:J80)/B80</f>
        <v>651.8880028223665</v>
      </c>
      <c r="N80" s="25">
        <f t="shared" si="10"/>
        <v>6.7682253936184642</v>
      </c>
      <c r="O80" s="25">
        <f>AVERAGE($N$65:N80)</f>
        <v>12.888699420895474</v>
      </c>
      <c r="P80" s="41">
        <f>SUM($I$65:I80)/M80</f>
        <v>3.2907240180012258</v>
      </c>
    </row>
    <row r="81" spans="1:26" x14ac:dyDescent="0.2">
      <c r="A81" s="46" t="s">
        <v>4</v>
      </c>
      <c r="B81" s="13">
        <v>17</v>
      </c>
      <c r="C81" s="78">
        <v>7728</v>
      </c>
      <c r="D81" s="15">
        <f t="shared" si="11"/>
        <v>8661.5</v>
      </c>
      <c r="E81" s="15">
        <f t="shared" si="7"/>
        <v>8098.9632352941153</v>
      </c>
      <c r="F81" s="17">
        <f t="shared" si="8"/>
        <v>0.95419620703085661</v>
      </c>
      <c r="G81" s="25">
        <f>($S$82+B81*$S$83)*$S$89</f>
        <v>6167.6313291519482</v>
      </c>
      <c r="H81" s="34"/>
      <c r="I81" s="25">
        <f t="shared" si="9"/>
        <v>-1560.3686708480518</v>
      </c>
      <c r="J81" s="25">
        <f t="shared" si="3"/>
        <v>1560.3686708480518</v>
      </c>
      <c r="K81" s="25">
        <f>SUM($I$65:I81)</f>
        <v>584.81483708636051</v>
      </c>
      <c r="L81" s="25">
        <f>SUMSQ($I$65:I81)/B81</f>
        <v>894841.12970885681</v>
      </c>
      <c r="M81" s="25">
        <f>SUM($J$65:J81)/B81</f>
        <v>705.32804211799498</v>
      </c>
      <c r="N81" s="25">
        <f t="shared" si="10"/>
        <v>20.191105989234625</v>
      </c>
      <c r="O81" s="25">
        <f>AVERAGE($N$65:N81)</f>
        <v>13.318252748444834</v>
      </c>
      <c r="P81" s="41">
        <f>SUM($I$65:I81)/M81</f>
        <v>0.82913878672716412</v>
      </c>
      <c r="R81" s="5"/>
      <c r="S81" s="5" t="s">
        <v>26</v>
      </c>
      <c r="T81" s="5" t="s">
        <v>15</v>
      </c>
      <c r="U81" s="5" t="s">
        <v>27</v>
      </c>
      <c r="V81" s="5" t="s">
        <v>28</v>
      </c>
      <c r="W81" s="5" t="s">
        <v>29</v>
      </c>
      <c r="X81" s="5" t="s">
        <v>30</v>
      </c>
      <c r="Y81" s="5" t="s">
        <v>31</v>
      </c>
      <c r="Z81" s="5" t="s">
        <v>32</v>
      </c>
    </row>
    <row r="82" spans="1:26" x14ac:dyDescent="0.2">
      <c r="A82" s="46" t="s">
        <v>48</v>
      </c>
      <c r="B82" s="13">
        <v>18</v>
      </c>
      <c r="C82" s="78">
        <v>16591</v>
      </c>
      <c r="D82" s="15">
        <f t="shared" si="11"/>
        <v>8988.875</v>
      </c>
      <c r="E82" s="15">
        <f t="shared" si="7"/>
        <v>8362.9034926470576</v>
      </c>
      <c r="F82" s="17">
        <f t="shared" si="8"/>
        <v>1.9838803609999036</v>
      </c>
      <c r="G82" s="25">
        <f>($S$82+B82*$S$83)*$S$90</f>
        <v>15882.946439636413</v>
      </c>
      <c r="H82" s="34"/>
      <c r="I82" s="25">
        <f t="shared" si="9"/>
        <v>-708.05356036358717</v>
      </c>
      <c r="J82" s="25">
        <f t="shared" si="3"/>
        <v>708.05356036358717</v>
      </c>
      <c r="K82" s="25">
        <f>SUM($I$65:I82)</f>
        <v>-123.23872327722665</v>
      </c>
      <c r="L82" s="25">
        <f>SUMSQ($I$65:I82)/B82</f>
        <v>872979.94718856213</v>
      </c>
      <c r="M82" s="25">
        <f>SUM($J$65:J82)/B82</f>
        <v>705.4794597983057</v>
      </c>
      <c r="N82" s="25">
        <f t="shared" si="10"/>
        <v>4.2676967052232371</v>
      </c>
      <c r="O82" s="25">
        <f>AVERAGE($N$65:N82)</f>
        <v>12.815444079376968</v>
      </c>
      <c r="P82" s="41">
        <f>SUM($I$65:I82)/M82</f>
        <v>-0.17468789709690513</v>
      </c>
      <c r="R82" s="3" t="s">
        <v>20</v>
      </c>
      <c r="S82" s="83">
        <v>3611.9788602941221</v>
      </c>
      <c r="T82" s="3">
        <v>317.02991210162969</v>
      </c>
      <c r="U82" s="3">
        <v>11.393180019985738</v>
      </c>
      <c r="V82" s="3">
        <v>1.8153931026474335E-8</v>
      </c>
      <c r="W82" s="3">
        <v>2932.0167203497354</v>
      </c>
      <c r="X82" s="3">
        <v>4291.9410002385093</v>
      </c>
      <c r="Y82" s="3">
        <v>2932.0167203497354</v>
      </c>
      <c r="Z82" s="3">
        <v>4291.9410002385093</v>
      </c>
    </row>
    <row r="83" spans="1:26" ht="13.5" thickBot="1" x14ac:dyDescent="0.25">
      <c r="A83" s="46" t="s">
        <v>5</v>
      </c>
      <c r="B83" s="13">
        <v>19</v>
      </c>
      <c r="C83" s="78">
        <v>8236</v>
      </c>
      <c r="D83" s="15"/>
      <c r="E83" s="15">
        <f t="shared" si="7"/>
        <v>8626.8437499999982</v>
      </c>
      <c r="F83" s="17">
        <f t="shared" si="8"/>
        <v>0.95469446748702291</v>
      </c>
      <c r="G83" s="25">
        <f>($S$82+B83*$S$83)*$S$91</f>
        <v>8178.6164659755696</v>
      </c>
      <c r="H83" s="34"/>
      <c r="I83" s="25">
        <f t="shared" si="9"/>
        <v>-57.383534024430446</v>
      </c>
      <c r="J83" s="25">
        <f t="shared" si="3"/>
        <v>57.383534024430446</v>
      </c>
      <c r="K83" s="25">
        <f>SUM($I$65:I83)</f>
        <v>-180.6222573016571</v>
      </c>
      <c r="L83" s="25">
        <f>SUMSQ($I$65:I83)/B83</f>
        <v>827206.94312480267</v>
      </c>
      <c r="M83" s="25">
        <f>SUM($J$65:J83)/B83</f>
        <v>671.36914791547008</v>
      </c>
      <c r="N83" s="25">
        <f t="shared" si="10"/>
        <v>0.69674033541076308</v>
      </c>
      <c r="O83" s="25">
        <f>AVERAGE($N$65:N83)</f>
        <v>12.177617566536643</v>
      </c>
      <c r="P83" s="41">
        <f>SUM($I$65:I83)/M83</f>
        <v>-0.26903568307014114</v>
      </c>
      <c r="R83" s="4" t="s">
        <v>33</v>
      </c>
      <c r="S83" s="84">
        <v>263.94025735294082</v>
      </c>
      <c r="T83" s="4">
        <v>27.646322119705495</v>
      </c>
      <c r="U83" s="4">
        <v>9.5470296631178968</v>
      </c>
      <c r="V83" s="4">
        <v>1.6535710949282776E-7</v>
      </c>
      <c r="W83" s="4">
        <v>204.64474095989902</v>
      </c>
      <c r="X83" s="4">
        <v>323.23577374598261</v>
      </c>
      <c r="Y83" s="4">
        <v>204.64474095989902</v>
      </c>
      <c r="Z83" s="4">
        <v>323.23577374598261</v>
      </c>
    </row>
    <row r="84" spans="1:26" ht="13.5" thickBot="1" x14ac:dyDescent="0.25">
      <c r="A84" s="47" t="s">
        <v>3</v>
      </c>
      <c r="B84" s="14">
        <v>20</v>
      </c>
      <c r="C84" s="79">
        <v>3316</v>
      </c>
      <c r="D84" s="16"/>
      <c r="E84" s="16">
        <f t="shared" si="7"/>
        <v>8890.7840073529387</v>
      </c>
      <c r="F84" s="18">
        <f t="shared" si="8"/>
        <v>0.37297048238463232</v>
      </c>
      <c r="G84" s="25">
        <f>($S$82+B84*$S$83)*$S$92</f>
        <v>3686.9438058314308</v>
      </c>
      <c r="H84" s="34"/>
      <c r="I84" s="26">
        <f t="shared" si="9"/>
        <v>370.94380583143084</v>
      </c>
      <c r="J84" s="26">
        <f t="shared" si="3"/>
        <v>370.94380583143084</v>
      </c>
      <c r="K84" s="26">
        <f>SUM($I$65:I84)</f>
        <v>190.32154852977374</v>
      </c>
      <c r="L84" s="26">
        <f>SUMSQ($I$65:I84)/B84</f>
        <v>792726.56132279779</v>
      </c>
      <c r="M84" s="26">
        <f>SUM($J$65:J84)/B84</f>
        <v>656.34788081126806</v>
      </c>
      <c r="N84" s="26">
        <f t="shared" si="10"/>
        <v>11.186483891177046</v>
      </c>
      <c r="O84" s="26">
        <f>AVERAGE($N$65:N84)</f>
        <v>12.128060882768661</v>
      </c>
      <c r="P84" s="42">
        <f>SUM($I$65:I84)/M84</f>
        <v>0.28997053863346051</v>
      </c>
    </row>
    <row r="85" spans="1:26" ht="13.5" thickBot="1" x14ac:dyDescent="0.25">
      <c r="A85" s="45" t="s">
        <v>4</v>
      </c>
      <c r="B85" s="58">
        <v>21</v>
      </c>
      <c r="C85" s="52"/>
      <c r="D85" s="53"/>
      <c r="E85" s="53"/>
      <c r="F85" s="54"/>
      <c r="G85" s="27">
        <f>($S$82+B85*$S$83)*$S$89</f>
        <v>6971.6286571952869</v>
      </c>
      <c r="H85" s="34"/>
      <c r="I85" s="34"/>
      <c r="J85" s="34"/>
      <c r="K85" s="34"/>
      <c r="L85" s="74" t="s">
        <v>62</v>
      </c>
      <c r="M85" s="75">
        <f>1.25*M84</f>
        <v>820.4348510140851</v>
      </c>
      <c r="N85" s="34"/>
      <c r="O85" s="34"/>
      <c r="P85" s="35"/>
    </row>
    <row r="86" spans="1:26" x14ac:dyDescent="0.2">
      <c r="A86" s="46" t="s">
        <v>48</v>
      </c>
      <c r="B86" s="13">
        <v>22</v>
      </c>
      <c r="C86" s="52"/>
      <c r="D86" s="53"/>
      <c r="E86" s="53"/>
      <c r="F86" s="54"/>
      <c r="G86" s="28">
        <f>($S$82+B86*$S$83)*$S$90</f>
        <v>17888.062951855634</v>
      </c>
      <c r="H86" s="34"/>
      <c r="I86" s="34"/>
      <c r="J86" s="34"/>
      <c r="K86" s="34"/>
      <c r="L86" s="34"/>
      <c r="M86" s="34"/>
      <c r="N86" s="34"/>
      <c r="O86" s="34"/>
      <c r="P86" s="35"/>
    </row>
    <row r="87" spans="1:26" x14ac:dyDescent="0.2">
      <c r="A87" s="46" t="s">
        <v>5</v>
      </c>
      <c r="B87" s="13">
        <v>23</v>
      </c>
      <c r="C87" s="52"/>
      <c r="D87" s="53"/>
      <c r="E87" s="53"/>
      <c r="F87" s="54"/>
      <c r="G87" s="28">
        <f>($S$82+B87*$S$83)*$S$91</f>
        <v>9179.5230303586741</v>
      </c>
      <c r="H87" s="34"/>
      <c r="I87" s="34"/>
      <c r="J87" s="34"/>
      <c r="K87" s="34"/>
      <c r="L87" s="34"/>
      <c r="M87" s="34"/>
      <c r="N87" s="34"/>
      <c r="O87" s="34"/>
      <c r="P87" s="35"/>
      <c r="R87" s="86" t="s">
        <v>35</v>
      </c>
      <c r="S87" s="10"/>
    </row>
    <row r="88" spans="1:26" x14ac:dyDescent="0.2">
      <c r="A88" s="46" t="s">
        <v>3</v>
      </c>
      <c r="B88" s="13">
        <v>24</v>
      </c>
      <c r="C88" s="52"/>
      <c r="D88" s="53"/>
      <c r="E88" s="53"/>
      <c r="F88" s="54"/>
      <c r="G88" s="28">
        <f>($S$82+B88*$S$83)*$S$92</f>
        <v>4124.7602666304647</v>
      </c>
      <c r="H88" s="34"/>
      <c r="I88" s="34"/>
      <c r="J88" s="34"/>
      <c r="K88" s="34"/>
      <c r="L88" s="34"/>
      <c r="M88" s="34"/>
      <c r="N88" s="34"/>
      <c r="O88" s="34"/>
      <c r="P88" s="35"/>
      <c r="R88" s="11" t="s">
        <v>2</v>
      </c>
      <c r="S88" s="10" t="s">
        <v>0</v>
      </c>
    </row>
    <row r="89" spans="1:26" x14ac:dyDescent="0.2">
      <c r="A89" s="46" t="s">
        <v>4</v>
      </c>
      <c r="B89" s="13">
        <v>25</v>
      </c>
      <c r="C89" s="52"/>
      <c r="D89" s="53"/>
      <c r="E89" s="53"/>
      <c r="F89" s="54"/>
      <c r="G89" s="27">
        <f>($S$82+B89*$S$83)*$S$89</f>
        <v>7775.6259852386265</v>
      </c>
      <c r="H89" s="34"/>
      <c r="I89" s="34"/>
      <c r="J89" s="34"/>
      <c r="K89" s="34"/>
      <c r="L89" s="34"/>
      <c r="M89" s="34"/>
      <c r="N89" s="34"/>
      <c r="O89" s="34"/>
      <c r="P89" s="35"/>
      <c r="R89" s="9" t="s">
        <v>4</v>
      </c>
      <c r="S89" s="20">
        <v>0.76153343952399966</v>
      </c>
    </row>
    <row r="90" spans="1:26" x14ac:dyDescent="0.2">
      <c r="A90" s="46" t="s">
        <v>48</v>
      </c>
      <c r="B90" s="13">
        <v>26</v>
      </c>
      <c r="C90" s="52"/>
      <c r="D90" s="53"/>
      <c r="E90" s="53"/>
      <c r="F90" s="54"/>
      <c r="G90" s="28">
        <f>($S$82+B90*$S$83)*$S$90</f>
        <v>19893.179464074863</v>
      </c>
      <c r="H90" s="34"/>
      <c r="I90" s="34"/>
      <c r="J90" s="34"/>
      <c r="K90" s="34"/>
      <c r="L90" s="34"/>
      <c r="M90" s="34"/>
      <c r="N90" s="34"/>
      <c r="O90" s="34"/>
      <c r="P90" s="35"/>
      <c r="R90" s="12" t="s">
        <v>48</v>
      </c>
      <c r="S90" s="21">
        <v>1.89921436419794</v>
      </c>
    </row>
    <row r="91" spans="1:26" x14ac:dyDescent="0.2">
      <c r="A91" s="46" t="s">
        <v>5</v>
      </c>
      <c r="B91" s="13">
        <v>27</v>
      </c>
      <c r="C91" s="52"/>
      <c r="D91" s="53"/>
      <c r="E91" s="53"/>
      <c r="F91" s="54"/>
      <c r="G91" s="28">
        <f>($S$82+B91*$S$83)*$S$91</f>
        <v>10180.42959474178</v>
      </c>
      <c r="H91" s="34"/>
      <c r="I91" s="34"/>
      <c r="J91" s="34"/>
      <c r="K91" s="34"/>
      <c r="L91" s="34"/>
      <c r="M91" s="34"/>
      <c r="N91" s="34"/>
      <c r="O91" s="34"/>
      <c r="P91" s="35"/>
      <c r="R91" s="12" t="s">
        <v>5</v>
      </c>
      <c r="S91" s="21">
        <v>0.94804272605210582</v>
      </c>
    </row>
    <row r="92" spans="1:26" x14ac:dyDescent="0.2">
      <c r="A92" s="46" t="s">
        <v>3</v>
      </c>
      <c r="B92" s="13">
        <v>28</v>
      </c>
      <c r="C92" s="52"/>
      <c r="D92" s="53"/>
      <c r="E92" s="53"/>
      <c r="F92" s="54"/>
      <c r="G92" s="28">
        <f>($S$82+B92*$S$83)*$S$92</f>
        <v>4562.5767274294985</v>
      </c>
      <c r="H92" s="34"/>
      <c r="I92" s="34"/>
      <c r="J92" s="34"/>
      <c r="K92" s="34"/>
      <c r="L92" s="34"/>
      <c r="M92" s="34"/>
      <c r="N92" s="34"/>
      <c r="O92" s="34"/>
      <c r="P92" s="35"/>
      <c r="R92" s="19" t="s">
        <v>3</v>
      </c>
      <c r="S92" s="22">
        <v>0.41469276531543453</v>
      </c>
    </row>
    <row r="93" spans="1:26" x14ac:dyDescent="0.2">
      <c r="A93" s="46" t="s">
        <v>4</v>
      </c>
      <c r="B93" s="13">
        <v>29</v>
      </c>
      <c r="C93" s="52"/>
      <c r="D93" s="53"/>
      <c r="E93" s="53"/>
      <c r="F93" s="54"/>
      <c r="G93" s="27">
        <f>($S$82+B93*$S$83)*$S$89</f>
        <v>8579.6233132819634</v>
      </c>
      <c r="H93" s="34"/>
      <c r="I93" s="34"/>
      <c r="J93" s="34"/>
      <c r="K93" s="34"/>
      <c r="L93" s="34"/>
      <c r="M93" s="34"/>
      <c r="N93" s="34"/>
      <c r="O93" s="34"/>
      <c r="P93" s="35"/>
    </row>
    <row r="94" spans="1:26" x14ac:dyDescent="0.2">
      <c r="A94" s="46" t="s">
        <v>48</v>
      </c>
      <c r="B94" s="13">
        <v>30</v>
      </c>
      <c r="C94" s="1"/>
      <c r="D94" s="1"/>
      <c r="E94" s="1"/>
      <c r="F94" s="35"/>
      <c r="G94" s="28">
        <f>($S$82+B94*$S$83)*$S$90</f>
        <v>21898.295976294085</v>
      </c>
      <c r="H94" s="36"/>
      <c r="I94" s="36"/>
      <c r="J94" s="36"/>
      <c r="K94" s="36"/>
      <c r="L94" s="36"/>
      <c r="M94" s="36"/>
      <c r="N94" s="36"/>
      <c r="O94" s="36"/>
      <c r="P94" s="43"/>
      <c r="Q94" s="37"/>
    </row>
    <row r="95" spans="1:26" x14ac:dyDescent="0.2">
      <c r="A95" s="46" t="s">
        <v>5</v>
      </c>
      <c r="B95" s="13">
        <v>31</v>
      </c>
      <c r="C95" s="1"/>
      <c r="D95" s="1"/>
      <c r="E95" s="1"/>
      <c r="F95" s="35"/>
      <c r="G95" s="28">
        <f>($S$82+B95*$S$83)*$S$91</f>
        <v>11181.336159124887</v>
      </c>
      <c r="H95" s="36"/>
      <c r="I95" s="36"/>
      <c r="J95" s="36"/>
      <c r="K95" s="36"/>
      <c r="L95" s="36"/>
      <c r="M95" s="36"/>
      <c r="N95" s="36"/>
      <c r="O95" s="36"/>
      <c r="P95" s="43"/>
      <c r="Q95" s="37"/>
    </row>
    <row r="96" spans="1:26" x14ac:dyDescent="0.2">
      <c r="A96" s="47" t="s">
        <v>3</v>
      </c>
      <c r="B96" s="14">
        <v>32</v>
      </c>
      <c r="C96" s="1"/>
      <c r="D96" s="1"/>
      <c r="E96" s="1"/>
      <c r="F96" s="35"/>
      <c r="G96" s="29">
        <f>($S$82+B96*$S$83)*$S$92</f>
        <v>5000.3931882285324</v>
      </c>
      <c r="H96" s="36"/>
      <c r="I96" s="36"/>
      <c r="J96" s="36"/>
      <c r="K96" s="36"/>
      <c r="L96" s="36"/>
      <c r="M96" s="36"/>
      <c r="N96" s="36"/>
      <c r="O96" s="36"/>
      <c r="P96" s="43"/>
      <c r="Q96" s="37"/>
    </row>
    <row r="97" spans="1:17" x14ac:dyDescent="0.2">
      <c r="A97" s="1"/>
      <c r="B97" s="1"/>
      <c r="C97" s="1"/>
      <c r="D97" s="1"/>
      <c r="E97" s="1"/>
      <c r="F97" s="35"/>
      <c r="G97" s="55"/>
      <c r="H97" s="36"/>
      <c r="I97" s="36"/>
      <c r="J97" s="36"/>
      <c r="K97" s="36"/>
      <c r="L97" s="36"/>
      <c r="M97" s="36"/>
      <c r="N97" s="36"/>
      <c r="O97" s="36"/>
      <c r="P97" s="43"/>
      <c r="Q97" s="37"/>
    </row>
    <row r="98" spans="1:17" x14ac:dyDescent="0.2">
      <c r="A98" s="1"/>
      <c r="B98" s="1"/>
      <c r="C98" s="1"/>
      <c r="D98" s="1"/>
      <c r="E98" s="1"/>
      <c r="F98" s="35"/>
      <c r="G98" s="55"/>
      <c r="H98" s="36"/>
      <c r="I98" s="36"/>
      <c r="J98" s="36"/>
      <c r="K98" s="36"/>
      <c r="L98" s="36"/>
      <c r="M98" s="36"/>
      <c r="N98" s="36"/>
      <c r="O98" s="36"/>
      <c r="P98" s="43"/>
      <c r="Q98" s="37"/>
    </row>
    <row r="99" spans="1:17" x14ac:dyDescent="0.2">
      <c r="A99" s="1"/>
      <c r="B99" s="1"/>
      <c r="C99" s="1"/>
      <c r="D99" s="1"/>
      <c r="E99" s="1"/>
      <c r="F99" s="35"/>
      <c r="G99" s="55"/>
      <c r="H99" s="36"/>
      <c r="I99" s="36"/>
      <c r="J99" s="36"/>
      <c r="K99" s="36"/>
      <c r="L99" s="36"/>
      <c r="M99" s="36"/>
      <c r="N99" s="36"/>
      <c r="O99" s="36"/>
      <c r="P99" s="43"/>
      <c r="Q99" s="37"/>
    </row>
    <row r="100" spans="1:17" x14ac:dyDescent="0.2">
      <c r="A100" s="1"/>
      <c r="B100" s="1"/>
      <c r="C100" s="1"/>
      <c r="D100" s="1"/>
      <c r="E100" s="1"/>
      <c r="F100" s="35"/>
      <c r="G100" s="55"/>
      <c r="H100" s="36"/>
      <c r="I100" s="36"/>
      <c r="J100" s="36"/>
      <c r="K100" s="36"/>
      <c r="L100" s="36"/>
      <c r="M100" s="36"/>
      <c r="N100" s="36"/>
      <c r="O100" s="36"/>
      <c r="P100" s="43"/>
      <c r="Q100" s="37"/>
    </row>
    <row r="101" spans="1:17" x14ac:dyDescent="0.2">
      <c r="A101" s="1"/>
      <c r="B101" s="1"/>
      <c r="C101" s="1"/>
      <c r="D101" s="1"/>
      <c r="E101" s="1"/>
      <c r="F101" s="35"/>
      <c r="G101" s="55"/>
      <c r="H101" s="36"/>
      <c r="I101" s="36"/>
      <c r="J101" s="36"/>
      <c r="K101" s="36"/>
      <c r="L101" s="36"/>
      <c r="M101" s="36"/>
      <c r="N101" s="36"/>
      <c r="O101" s="36"/>
      <c r="P101" s="43"/>
      <c r="Q101" s="37"/>
    </row>
    <row r="102" spans="1:17" x14ac:dyDescent="0.2">
      <c r="A102" s="1"/>
      <c r="B102" s="1"/>
      <c r="C102" s="1"/>
      <c r="D102" s="1"/>
      <c r="E102" s="1"/>
      <c r="F102" s="1"/>
      <c r="G102" s="55"/>
      <c r="H102" s="36"/>
      <c r="I102" s="36"/>
      <c r="J102" s="36"/>
      <c r="K102" s="36"/>
      <c r="L102" s="36"/>
      <c r="M102" s="36"/>
      <c r="N102" s="36"/>
      <c r="O102" s="36"/>
      <c r="P102" s="43"/>
      <c r="Q102" s="37"/>
    </row>
    <row r="103" spans="1:17" x14ac:dyDescent="0.2">
      <c r="A103" s="1"/>
      <c r="B103" s="1"/>
      <c r="C103" s="1"/>
      <c r="D103" s="1"/>
      <c r="E103" s="1"/>
      <c r="F103" s="1"/>
      <c r="G103" s="55"/>
      <c r="H103" s="36"/>
      <c r="I103" s="36"/>
      <c r="J103" s="36"/>
      <c r="K103" s="36"/>
      <c r="L103" s="36"/>
      <c r="M103" s="36"/>
      <c r="N103" s="36"/>
      <c r="O103" s="36"/>
      <c r="P103" s="43"/>
      <c r="Q103" s="37"/>
    </row>
    <row r="104" spans="1:17" x14ac:dyDescent="0.2">
      <c r="A104" s="1"/>
      <c r="B104" s="1"/>
      <c r="C104" s="1"/>
      <c r="D104" s="1"/>
      <c r="E104" s="1"/>
      <c r="F104" s="1"/>
      <c r="G104" s="55"/>
      <c r="H104" s="56"/>
      <c r="I104" s="56"/>
      <c r="J104" s="56"/>
      <c r="K104" s="56"/>
      <c r="L104" s="56"/>
      <c r="M104" s="56"/>
      <c r="N104" s="56"/>
      <c r="O104" s="56"/>
      <c r="P104" s="57"/>
      <c r="Q104" s="37"/>
    </row>
    <row r="105" spans="1:17" x14ac:dyDescent="0.2">
      <c r="A105" s="1"/>
      <c r="B105" s="1"/>
      <c r="C105" s="1"/>
      <c r="D105" s="1"/>
      <c r="E105" s="1"/>
      <c r="F105" s="1"/>
      <c r="G105" s="55"/>
      <c r="H105" s="56"/>
      <c r="I105" s="56"/>
      <c r="J105" s="56"/>
      <c r="K105" s="56"/>
      <c r="L105" s="56"/>
      <c r="M105" s="56"/>
      <c r="N105" s="56"/>
      <c r="O105" s="56"/>
      <c r="P105" s="57"/>
      <c r="Q105" s="37"/>
    </row>
    <row r="106" spans="1:17" x14ac:dyDescent="0.2">
      <c r="A106" s="1"/>
      <c r="B106" s="1"/>
      <c r="C106" s="1"/>
      <c r="D106" s="1"/>
      <c r="E106" s="1"/>
      <c r="F106" s="1"/>
      <c r="G106" s="55"/>
      <c r="H106" s="56"/>
      <c r="I106" s="56"/>
      <c r="J106" s="56"/>
      <c r="K106" s="56"/>
      <c r="L106" s="56"/>
      <c r="M106" s="56"/>
      <c r="N106" s="56"/>
      <c r="O106" s="56"/>
      <c r="P106" s="57"/>
      <c r="Q106" s="37"/>
    </row>
    <row r="107" spans="1:17" x14ac:dyDescent="0.2">
      <c r="A107" s="1"/>
      <c r="B107" s="1"/>
      <c r="C107" s="1"/>
      <c r="D107" s="1"/>
      <c r="E107" s="1"/>
      <c r="F107" s="1"/>
      <c r="G107" s="55"/>
      <c r="H107" s="56"/>
      <c r="I107" s="56"/>
      <c r="J107" s="56"/>
      <c r="K107" s="56"/>
      <c r="L107" s="56"/>
      <c r="M107" s="56"/>
      <c r="N107" s="56"/>
      <c r="O107" s="56"/>
      <c r="P107" s="57"/>
      <c r="Q107" s="37"/>
    </row>
    <row r="108" spans="1:17" x14ac:dyDescent="0.2">
      <c r="A108" s="1"/>
      <c r="B108" s="1"/>
      <c r="C108" s="1"/>
      <c r="D108" s="1"/>
      <c r="E108" s="1"/>
      <c r="F108" s="1"/>
      <c r="G108" s="55"/>
      <c r="H108" s="56"/>
      <c r="I108" s="56"/>
      <c r="J108" s="56"/>
      <c r="K108" s="56"/>
      <c r="L108" s="56"/>
      <c r="M108" s="56"/>
      <c r="N108" s="56"/>
      <c r="O108" s="56"/>
      <c r="P108" s="57"/>
      <c r="Q108" s="37"/>
    </row>
    <row r="109" spans="1:17" x14ac:dyDescent="0.2">
      <c r="A109" s="1"/>
      <c r="B109" s="1"/>
      <c r="C109" s="1"/>
      <c r="D109" s="1"/>
      <c r="E109" s="1"/>
      <c r="F109" s="1"/>
      <c r="G109" s="55"/>
      <c r="H109" s="56"/>
      <c r="I109" s="56"/>
      <c r="J109" s="56"/>
      <c r="K109" s="56"/>
      <c r="L109" s="56"/>
      <c r="M109" s="56"/>
      <c r="N109" s="56"/>
      <c r="O109" s="56"/>
      <c r="P109" s="57"/>
      <c r="Q109" s="37"/>
    </row>
    <row r="110" spans="1:17" x14ac:dyDescent="0.2">
      <c r="A110" s="1"/>
      <c r="B110" s="1"/>
      <c r="C110" s="1"/>
      <c r="D110" s="1"/>
      <c r="E110" s="1"/>
      <c r="F110" s="1"/>
      <c r="G110" s="55"/>
      <c r="H110" s="56"/>
      <c r="I110" s="56"/>
      <c r="J110" s="56"/>
      <c r="K110" s="56"/>
      <c r="L110" s="56"/>
      <c r="M110" s="56"/>
      <c r="N110" s="56"/>
      <c r="O110" s="56"/>
      <c r="P110" s="57"/>
      <c r="Q110" s="37"/>
    </row>
    <row r="111" spans="1:17" x14ac:dyDescent="0.2">
      <c r="A111" s="1"/>
      <c r="B111" s="1"/>
      <c r="C111" s="1"/>
      <c r="D111" s="1"/>
      <c r="E111" s="1"/>
      <c r="F111" s="1"/>
      <c r="G111" s="55"/>
      <c r="H111" s="56"/>
      <c r="I111" s="56"/>
      <c r="J111" s="56"/>
      <c r="K111" s="56"/>
      <c r="L111" s="56"/>
      <c r="M111" s="56"/>
      <c r="N111" s="56"/>
      <c r="O111" s="56"/>
      <c r="P111" s="57"/>
      <c r="Q111" s="37"/>
    </row>
    <row r="112" spans="1:17" x14ac:dyDescent="0.2">
      <c r="A112" s="1"/>
      <c r="B112" s="1"/>
      <c r="C112" s="1"/>
      <c r="D112" s="1"/>
      <c r="E112" s="1"/>
      <c r="F112" s="1"/>
      <c r="G112" s="55"/>
      <c r="H112" s="56"/>
      <c r="I112" s="56"/>
      <c r="J112" s="56"/>
      <c r="K112" s="56"/>
      <c r="L112" s="56"/>
      <c r="M112" s="56"/>
      <c r="N112" s="56"/>
      <c r="O112" s="56"/>
      <c r="P112" s="57"/>
      <c r="Q112" s="37"/>
    </row>
    <row r="113" spans="1:17" x14ac:dyDescent="0.2">
      <c r="A113" s="1"/>
      <c r="B113" s="1"/>
      <c r="C113" s="1"/>
      <c r="D113" s="1"/>
      <c r="E113" s="1"/>
      <c r="F113" s="1"/>
      <c r="G113" s="55"/>
      <c r="H113" s="56"/>
      <c r="I113" s="56"/>
      <c r="J113" s="56"/>
      <c r="K113" s="56"/>
      <c r="L113" s="56"/>
      <c r="M113" s="56"/>
      <c r="N113" s="56"/>
      <c r="O113" s="56"/>
      <c r="P113" s="57"/>
      <c r="Q113" s="37"/>
    </row>
    <row r="114" spans="1:17" x14ac:dyDescent="0.2">
      <c r="A114" s="1"/>
      <c r="B114" s="1"/>
      <c r="C114" s="1"/>
      <c r="D114" s="1"/>
      <c r="E114" s="1"/>
      <c r="F114" s="1"/>
      <c r="G114" s="55"/>
      <c r="H114" s="56"/>
      <c r="I114" s="56"/>
      <c r="J114" s="56"/>
      <c r="K114" s="56"/>
      <c r="L114" s="56"/>
      <c r="M114" s="56"/>
      <c r="N114" s="56"/>
      <c r="O114" s="56"/>
      <c r="P114" s="57"/>
      <c r="Q114" s="37"/>
    </row>
    <row r="115" spans="1:17" x14ac:dyDescent="0.2">
      <c r="A115" s="1"/>
      <c r="B115" s="1"/>
      <c r="C115" s="1"/>
      <c r="D115" s="1"/>
      <c r="E115" s="1"/>
      <c r="F115" s="1"/>
      <c r="G115" s="55"/>
      <c r="H115" s="56"/>
      <c r="I115" s="56"/>
      <c r="J115" s="56"/>
      <c r="K115" s="56"/>
      <c r="L115" s="56"/>
      <c r="M115" s="56"/>
      <c r="N115" s="56"/>
      <c r="O115" s="56"/>
      <c r="P115" s="57"/>
      <c r="Q115" s="37"/>
    </row>
    <row r="116" spans="1:17" x14ac:dyDescent="0.2">
      <c r="A116" s="1"/>
      <c r="B116" s="1"/>
      <c r="C116" s="1"/>
      <c r="D116" s="1"/>
      <c r="E116" s="1"/>
      <c r="F116" s="1"/>
      <c r="G116" s="55"/>
      <c r="H116" s="56"/>
      <c r="I116" s="56"/>
      <c r="J116" s="56"/>
      <c r="K116" s="56"/>
      <c r="L116" s="56"/>
      <c r="M116" s="56"/>
      <c r="N116" s="56"/>
      <c r="O116" s="56"/>
      <c r="P116" s="57"/>
      <c r="Q116" s="37"/>
    </row>
    <row r="117" spans="1:17" x14ac:dyDescent="0.2">
      <c r="A117" s="1"/>
      <c r="B117" s="1"/>
      <c r="C117" s="1"/>
      <c r="D117" s="1"/>
      <c r="E117" s="1"/>
      <c r="F117" s="1"/>
      <c r="G117" s="55"/>
      <c r="H117" s="56"/>
      <c r="I117" s="56"/>
      <c r="J117" s="56"/>
      <c r="K117" s="56"/>
      <c r="L117" s="56"/>
      <c r="M117" s="56"/>
      <c r="N117" s="56"/>
      <c r="O117" s="56"/>
      <c r="P117" s="57"/>
      <c r="Q117" s="37"/>
    </row>
    <row r="118" spans="1:17" x14ac:dyDescent="0.2">
      <c r="F118" s="2"/>
      <c r="H118" s="37"/>
      <c r="I118" s="37"/>
      <c r="J118" s="37"/>
      <c r="K118" s="37"/>
      <c r="L118" s="37"/>
      <c r="M118" s="37"/>
      <c r="N118" s="37"/>
      <c r="O118" s="37"/>
      <c r="P118" s="44"/>
      <c r="Q118" s="37"/>
    </row>
    <row r="119" spans="1:17" x14ac:dyDescent="0.2">
      <c r="F119" s="2"/>
      <c r="H119" s="37"/>
      <c r="I119" s="37"/>
      <c r="J119" s="37"/>
      <c r="K119" s="37"/>
      <c r="L119" s="37"/>
      <c r="M119" s="37"/>
      <c r="N119" s="37"/>
      <c r="O119" s="37"/>
      <c r="P119" s="44"/>
      <c r="Q119" s="37"/>
    </row>
    <row r="120" spans="1:17" x14ac:dyDescent="0.2">
      <c r="G120" s="37"/>
      <c r="H120" s="37"/>
      <c r="I120" s="37"/>
      <c r="J120" s="37"/>
      <c r="K120" s="37"/>
      <c r="L120" s="37"/>
      <c r="M120" s="37"/>
      <c r="N120" s="37"/>
      <c r="O120" s="44"/>
      <c r="P120" s="37"/>
    </row>
    <row r="121" spans="1:17" x14ac:dyDescent="0.2">
      <c r="G121" s="37"/>
      <c r="H121" s="37"/>
      <c r="I121" s="37"/>
      <c r="J121" s="37"/>
      <c r="K121" s="37"/>
      <c r="L121" s="37"/>
      <c r="M121" s="37"/>
      <c r="N121" s="37"/>
      <c r="O121" s="44"/>
      <c r="P121" s="37"/>
    </row>
    <row r="122" spans="1:17" x14ac:dyDescent="0.2">
      <c r="G122" s="37"/>
      <c r="H122" s="37"/>
      <c r="I122" s="37"/>
      <c r="J122" s="37"/>
      <c r="K122" s="37"/>
      <c r="L122" s="37"/>
      <c r="M122" s="37"/>
      <c r="N122" s="37"/>
      <c r="O122" s="44"/>
      <c r="P122" s="37"/>
    </row>
    <row r="123" spans="1:17" x14ac:dyDescent="0.2">
      <c r="G123" s="37"/>
      <c r="H123" s="37"/>
      <c r="I123" s="37"/>
      <c r="J123" s="37"/>
      <c r="K123" s="37"/>
      <c r="L123" s="37"/>
      <c r="M123" s="37"/>
      <c r="N123" s="37"/>
      <c r="O123" s="44"/>
      <c r="P123" s="37"/>
    </row>
    <row r="124" spans="1:17" x14ac:dyDescent="0.2">
      <c r="G124" s="37"/>
      <c r="H124" s="37"/>
      <c r="I124" s="37"/>
      <c r="J124" s="37"/>
      <c r="K124" s="37"/>
      <c r="L124" s="37"/>
      <c r="M124" s="37"/>
      <c r="N124" s="37"/>
      <c r="O124" s="44"/>
      <c r="P124" s="37"/>
    </row>
    <row r="125" spans="1:17" x14ac:dyDescent="0.2">
      <c r="G125" s="37"/>
      <c r="H125" s="37"/>
      <c r="I125" s="37"/>
      <c r="J125" s="37"/>
      <c r="K125" s="37"/>
      <c r="L125" s="37"/>
      <c r="M125" s="37"/>
      <c r="N125" s="37"/>
      <c r="O125" s="44"/>
      <c r="P125" s="37"/>
    </row>
    <row r="126" spans="1:17" x14ac:dyDescent="0.2">
      <c r="G126" s="37"/>
      <c r="H126" s="37"/>
      <c r="I126" s="37"/>
      <c r="J126" s="37"/>
      <c r="K126" s="37"/>
      <c r="L126" s="37"/>
      <c r="M126" s="37"/>
      <c r="N126" s="37"/>
      <c r="O126" s="44"/>
      <c r="P126" s="37"/>
    </row>
  </sheetData>
  <mergeCells count="42">
    <mergeCell ref="C7:D7"/>
    <mergeCell ref="C8:D8"/>
    <mergeCell ref="C9:D9"/>
    <mergeCell ref="C10:D10"/>
    <mergeCell ref="C17:D17"/>
    <mergeCell ref="C18:D18"/>
    <mergeCell ref="C11:D11"/>
    <mergeCell ref="C12:D12"/>
    <mergeCell ref="C13:D13"/>
    <mergeCell ref="C14:D14"/>
    <mergeCell ref="C23:D23"/>
    <mergeCell ref="C24:D24"/>
    <mergeCell ref="C4:D4"/>
    <mergeCell ref="E4:F4"/>
    <mergeCell ref="E5:F5"/>
    <mergeCell ref="E6:F6"/>
    <mergeCell ref="C5:D5"/>
    <mergeCell ref="C6:D6"/>
    <mergeCell ref="E7:F7"/>
    <mergeCell ref="E8:F8"/>
    <mergeCell ref="C19:D19"/>
    <mergeCell ref="C20:D20"/>
    <mergeCell ref="C21:D21"/>
    <mergeCell ref="C22:D22"/>
    <mergeCell ref="C15:D15"/>
    <mergeCell ref="C16:D16"/>
    <mergeCell ref="E13:F13"/>
    <mergeCell ref="E14:F14"/>
    <mergeCell ref="E15:F15"/>
    <mergeCell ref="E16:F16"/>
    <mergeCell ref="E9:F9"/>
    <mergeCell ref="E10:F10"/>
    <mergeCell ref="E11:F11"/>
    <mergeCell ref="E12:F12"/>
    <mergeCell ref="E17:F17"/>
    <mergeCell ref="E18:F18"/>
    <mergeCell ref="E23:F23"/>
    <mergeCell ref="E24:F24"/>
    <mergeCell ref="E19:F19"/>
    <mergeCell ref="E20:F20"/>
    <mergeCell ref="E21:F21"/>
    <mergeCell ref="E22:F22"/>
  </mergeCells>
  <phoneticPr fontId="0" type="noConversion"/>
  <pageMargins left="0.75" right="0.75" top="0.51" bottom="0.48" header="0.5" footer="0.5"/>
  <pageSetup paperSize="9" scale="39" orientation="landscape" horizontalDpi="300" verticalDpi="300" r:id="rId2"/>
  <headerFooter alignWithMargins="0">
    <oddFooter>&amp;LCR - &amp;D &amp;T&amp;R&amp;F  -  &amp;A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pageSetUpPr fitToPage="1"/>
  </sheetPr>
  <dimension ref="A1:Z133"/>
  <sheetViews>
    <sheetView zoomScale="80" zoomScaleNormal="80" workbookViewId="0">
      <selection activeCell="K105" sqref="K105"/>
    </sheetView>
  </sheetViews>
  <sheetFormatPr defaultRowHeight="12.75" x14ac:dyDescent="0.2"/>
  <cols>
    <col min="1" max="5" width="10" style="2" customWidth="1"/>
    <col min="6" max="7" width="10" customWidth="1"/>
    <col min="8" max="10" width="8.5703125" customWidth="1"/>
    <col min="11" max="11" width="12.28515625" customWidth="1"/>
    <col min="12" max="12" width="11.140625" customWidth="1"/>
    <col min="13" max="14" width="8.5703125" customWidth="1"/>
    <col min="15" max="15" width="8.5703125" style="39" customWidth="1"/>
    <col min="17" max="17" width="6.140625" customWidth="1"/>
    <col min="18" max="18" width="29.5703125" customWidth="1"/>
    <col min="19" max="19" width="11.5703125" customWidth="1"/>
    <col min="20" max="20" width="17.140625" customWidth="1"/>
    <col min="21" max="22" width="9.7109375" customWidth="1"/>
    <col min="23" max="23" width="15.42578125" customWidth="1"/>
    <col min="24" max="26" width="9.7109375" customWidth="1"/>
  </cols>
  <sheetData>
    <row r="1" spans="1:15" x14ac:dyDescent="0.2">
      <c r="A1" s="8" t="s">
        <v>67</v>
      </c>
    </row>
    <row r="4" spans="1:15" s="31" customFormat="1" ht="41.25" customHeight="1" x14ac:dyDescent="0.2">
      <c r="A4" s="38" t="s">
        <v>1</v>
      </c>
      <c r="B4" s="38" t="s">
        <v>2</v>
      </c>
      <c r="C4" s="100" t="s">
        <v>49</v>
      </c>
      <c r="D4" s="101"/>
      <c r="E4" s="100" t="s">
        <v>50</v>
      </c>
      <c r="F4" s="101"/>
      <c r="O4" s="48"/>
    </row>
    <row r="5" spans="1:15" x14ac:dyDescent="0.2">
      <c r="A5" s="49">
        <v>2005</v>
      </c>
      <c r="B5" s="23" t="s">
        <v>4</v>
      </c>
      <c r="C5" s="96">
        <v>2250</v>
      </c>
      <c r="D5" s="97"/>
      <c r="E5" s="96">
        <v>3200</v>
      </c>
      <c r="F5" s="97"/>
    </row>
    <row r="6" spans="1:15" x14ac:dyDescent="0.2">
      <c r="A6" s="49"/>
      <c r="B6" s="23" t="s">
        <v>48</v>
      </c>
      <c r="C6" s="96">
        <v>1737</v>
      </c>
      <c r="D6" s="97"/>
      <c r="E6" s="96">
        <v>7658</v>
      </c>
      <c r="F6" s="97"/>
    </row>
    <row r="7" spans="1:15" x14ac:dyDescent="0.2">
      <c r="A7" s="49"/>
      <c r="B7" s="23" t="s">
        <v>5</v>
      </c>
      <c r="C7" s="96">
        <v>2412</v>
      </c>
      <c r="D7" s="97"/>
      <c r="E7" s="96">
        <v>4420</v>
      </c>
      <c r="F7" s="97"/>
    </row>
    <row r="8" spans="1:15" x14ac:dyDescent="0.2">
      <c r="A8" s="49"/>
      <c r="B8" s="23" t="s">
        <v>3</v>
      </c>
      <c r="C8" s="96">
        <v>7269</v>
      </c>
      <c r="D8" s="97"/>
      <c r="E8" s="96">
        <v>2384</v>
      </c>
      <c r="F8" s="97"/>
    </row>
    <row r="9" spans="1:15" x14ac:dyDescent="0.2">
      <c r="A9" s="49">
        <v>2006</v>
      </c>
      <c r="B9" s="23" t="s">
        <v>4</v>
      </c>
      <c r="C9" s="96">
        <v>3514</v>
      </c>
      <c r="D9" s="97"/>
      <c r="E9" s="96">
        <v>3654</v>
      </c>
      <c r="F9" s="97"/>
    </row>
    <row r="10" spans="1:15" x14ac:dyDescent="0.2">
      <c r="A10" s="49"/>
      <c r="B10" s="23" t="s">
        <v>48</v>
      </c>
      <c r="C10" s="96">
        <v>2143</v>
      </c>
      <c r="D10" s="97"/>
      <c r="E10" s="96">
        <v>8680</v>
      </c>
      <c r="F10" s="97"/>
    </row>
    <row r="11" spans="1:15" x14ac:dyDescent="0.2">
      <c r="A11" s="49"/>
      <c r="B11" s="23" t="s">
        <v>5</v>
      </c>
      <c r="C11" s="96">
        <v>3459</v>
      </c>
      <c r="D11" s="97"/>
      <c r="E11" s="96">
        <v>5695</v>
      </c>
      <c r="F11" s="97"/>
    </row>
    <row r="12" spans="1:15" x14ac:dyDescent="0.2">
      <c r="A12" s="49"/>
      <c r="B12" s="23" t="s">
        <v>3</v>
      </c>
      <c r="C12" s="96">
        <v>7056</v>
      </c>
      <c r="D12" s="97"/>
      <c r="E12" s="96">
        <v>1953</v>
      </c>
      <c r="F12" s="97"/>
    </row>
    <row r="13" spans="1:15" x14ac:dyDescent="0.2">
      <c r="A13" s="49">
        <v>2007</v>
      </c>
      <c r="B13" s="23" t="s">
        <v>4</v>
      </c>
      <c r="C13" s="96">
        <v>4120</v>
      </c>
      <c r="D13" s="97"/>
      <c r="E13" s="96">
        <v>4742</v>
      </c>
      <c r="F13" s="97"/>
    </row>
    <row r="14" spans="1:15" x14ac:dyDescent="0.2">
      <c r="A14" s="49"/>
      <c r="B14" s="23" t="s">
        <v>48</v>
      </c>
      <c r="C14" s="96">
        <v>2766</v>
      </c>
      <c r="D14" s="97"/>
      <c r="E14" s="96">
        <v>13673</v>
      </c>
      <c r="F14" s="97"/>
    </row>
    <row r="15" spans="1:15" x14ac:dyDescent="0.2">
      <c r="A15" s="49"/>
      <c r="B15" s="23" t="s">
        <v>5</v>
      </c>
      <c r="C15" s="96">
        <v>2556</v>
      </c>
      <c r="D15" s="97"/>
      <c r="E15" s="96">
        <v>6640</v>
      </c>
      <c r="F15" s="97"/>
    </row>
    <row r="16" spans="1:15" x14ac:dyDescent="0.2">
      <c r="A16" s="49"/>
      <c r="B16" s="23" t="s">
        <v>3</v>
      </c>
      <c r="C16" s="96">
        <v>8253</v>
      </c>
      <c r="D16" s="97"/>
      <c r="E16" s="96">
        <v>2737</v>
      </c>
      <c r="F16" s="97"/>
    </row>
    <row r="17" spans="1:18" x14ac:dyDescent="0.2">
      <c r="A17" s="49">
        <v>2008</v>
      </c>
      <c r="B17" s="23" t="s">
        <v>4</v>
      </c>
      <c r="C17" s="96">
        <v>5491</v>
      </c>
      <c r="D17" s="97"/>
      <c r="E17" s="96">
        <v>3486</v>
      </c>
      <c r="F17" s="97"/>
    </row>
    <row r="18" spans="1:18" x14ac:dyDescent="0.2">
      <c r="A18" s="49"/>
      <c r="B18" s="23" t="s">
        <v>48</v>
      </c>
      <c r="C18" s="96">
        <v>4382</v>
      </c>
      <c r="D18" s="97"/>
      <c r="E18" s="96">
        <v>13186</v>
      </c>
      <c r="F18" s="97"/>
      <c r="I18" s="7" t="s">
        <v>51</v>
      </c>
      <c r="J18" s="7" t="s">
        <v>34</v>
      </c>
    </row>
    <row r="19" spans="1:18" ht="13.5" thickBot="1" x14ac:dyDescent="0.25">
      <c r="A19" s="49"/>
      <c r="B19" s="23" t="s">
        <v>5</v>
      </c>
      <c r="C19" s="96">
        <v>4315</v>
      </c>
      <c r="D19" s="97"/>
      <c r="E19" s="96">
        <v>5448</v>
      </c>
      <c r="F19" s="97"/>
    </row>
    <row r="20" spans="1:18" ht="16.5" thickBot="1" x14ac:dyDescent="0.3">
      <c r="A20" s="49"/>
      <c r="B20" s="23" t="s">
        <v>3</v>
      </c>
      <c r="C20" s="96">
        <v>12035</v>
      </c>
      <c r="D20" s="97"/>
      <c r="E20" s="96">
        <v>3485</v>
      </c>
      <c r="F20" s="97"/>
      <c r="I20" s="61" t="s">
        <v>55</v>
      </c>
      <c r="J20" s="62" t="s">
        <v>54</v>
      </c>
      <c r="K20" s="85">
        <v>0.1</v>
      </c>
    </row>
    <row r="21" spans="1:18" ht="16.5" thickBot="1" x14ac:dyDescent="0.3">
      <c r="A21" s="49">
        <v>2009</v>
      </c>
      <c r="B21" s="23" t="s">
        <v>4</v>
      </c>
      <c r="C21" s="96">
        <v>5648</v>
      </c>
      <c r="D21" s="97"/>
      <c r="E21" s="96">
        <v>7728</v>
      </c>
      <c r="F21" s="97"/>
      <c r="I21" s="61" t="s">
        <v>57</v>
      </c>
      <c r="J21" s="62" t="s">
        <v>54</v>
      </c>
      <c r="K21" s="85">
        <v>0.1</v>
      </c>
    </row>
    <row r="22" spans="1:18" ht="16.5" thickBot="1" x14ac:dyDescent="0.3">
      <c r="A22" s="49"/>
      <c r="B22" s="23" t="s">
        <v>48</v>
      </c>
      <c r="C22" s="96">
        <v>3696</v>
      </c>
      <c r="D22" s="97"/>
      <c r="E22" s="96">
        <v>16591</v>
      </c>
      <c r="F22" s="97"/>
      <c r="I22" s="61" t="s">
        <v>58</v>
      </c>
      <c r="J22" s="62" t="s">
        <v>54</v>
      </c>
      <c r="K22" s="85">
        <v>0.1</v>
      </c>
    </row>
    <row r="23" spans="1:18" x14ac:dyDescent="0.2">
      <c r="A23" s="49"/>
      <c r="B23" s="23" t="s">
        <v>5</v>
      </c>
      <c r="C23" s="96">
        <v>4843</v>
      </c>
      <c r="D23" s="97"/>
      <c r="E23" s="96">
        <v>8236</v>
      </c>
      <c r="F23" s="97"/>
    </row>
    <row r="24" spans="1:18" x14ac:dyDescent="0.2">
      <c r="A24" s="50"/>
      <c r="B24" s="24" t="s">
        <v>3</v>
      </c>
      <c r="C24" s="98">
        <v>13097</v>
      </c>
      <c r="D24" s="99"/>
      <c r="E24" s="98">
        <v>3316</v>
      </c>
      <c r="F24" s="99"/>
      <c r="I24" s="68" t="s">
        <v>61</v>
      </c>
    </row>
    <row r="25" spans="1:18" x14ac:dyDescent="0.2">
      <c r="A25"/>
      <c r="B25"/>
      <c r="C25"/>
      <c r="D25"/>
      <c r="E25"/>
    </row>
    <row r="26" spans="1:18" x14ac:dyDescent="0.2">
      <c r="A26"/>
      <c r="B26"/>
      <c r="C26"/>
      <c r="D26"/>
      <c r="E26"/>
    </row>
    <row r="27" spans="1:18" ht="15.75" x14ac:dyDescent="0.25">
      <c r="A27" s="59" t="s">
        <v>53</v>
      </c>
      <c r="B27" s="51"/>
      <c r="F27" s="2"/>
      <c r="O27"/>
      <c r="P27" s="39"/>
    </row>
    <row r="28" spans="1:18" s="31" customFormat="1" ht="45.75" customHeight="1" x14ac:dyDescent="0.3">
      <c r="A28" s="30" t="s">
        <v>2</v>
      </c>
      <c r="B28" s="30" t="s">
        <v>6</v>
      </c>
      <c r="C28" s="30" t="s">
        <v>7</v>
      </c>
      <c r="D28" s="30" t="s">
        <v>46</v>
      </c>
      <c r="E28" s="30" t="s">
        <v>47</v>
      </c>
      <c r="F28" s="30" t="s">
        <v>8</v>
      </c>
      <c r="G28" s="32" t="s">
        <v>9</v>
      </c>
      <c r="H28" s="33"/>
      <c r="I28" s="30" t="s">
        <v>38</v>
      </c>
      <c r="J28" s="30" t="s">
        <v>39</v>
      </c>
      <c r="K28" s="30" t="s">
        <v>43</v>
      </c>
      <c r="L28" s="30" t="s">
        <v>40</v>
      </c>
      <c r="M28" s="30" t="s">
        <v>41</v>
      </c>
      <c r="N28" s="30" t="s">
        <v>45</v>
      </c>
      <c r="O28" s="30" t="s">
        <v>42</v>
      </c>
      <c r="P28" s="40" t="s">
        <v>44</v>
      </c>
      <c r="R28" s="8" t="s">
        <v>68</v>
      </c>
    </row>
    <row r="29" spans="1:18" x14ac:dyDescent="0.2">
      <c r="A29" s="46"/>
      <c r="B29" s="13"/>
      <c r="C29" s="78"/>
      <c r="D29" s="15">
        <f>S47</f>
        <v>2592.7476102941223</v>
      </c>
      <c r="E29" s="15">
        <f>S48</f>
        <v>226.85588235294082</v>
      </c>
      <c r="F29" s="17"/>
      <c r="G29" s="25"/>
      <c r="H29" s="34"/>
      <c r="I29" s="25"/>
      <c r="J29" s="25"/>
      <c r="K29" s="25"/>
      <c r="L29" s="25"/>
      <c r="M29" s="25"/>
      <c r="N29" s="25"/>
      <c r="O29" s="25"/>
      <c r="P29" s="41"/>
    </row>
    <row r="30" spans="1:18" x14ac:dyDescent="0.2">
      <c r="A30" s="46" t="s">
        <v>4</v>
      </c>
      <c r="B30" s="13">
        <v>1</v>
      </c>
      <c r="C30" s="78">
        <v>2250</v>
      </c>
      <c r="D30" s="15">
        <f>alpha*(C30/F30)+(1-alpha)*(D29+E29)</f>
        <v>2787.8435374334426</v>
      </c>
      <c r="E30" s="15">
        <f>beta*(D30-D29)+(1-beta)*E29</f>
        <v>223.67988683157876</v>
      </c>
      <c r="F30" s="17">
        <f>S54</f>
        <v>0.89927915922490365</v>
      </c>
      <c r="G30" s="25">
        <f>(D29+E29)*F30</f>
        <v>2535.6106582152524</v>
      </c>
      <c r="H30" s="34"/>
      <c r="I30" s="25">
        <f t="shared" ref="I30:I49" si="0">G30-C30</f>
        <v>285.61065821525244</v>
      </c>
      <c r="J30" s="25">
        <f t="shared" ref="J30:J49" si="1">ABS(I30)</f>
        <v>285.61065821525244</v>
      </c>
      <c r="K30" s="25">
        <f>SUM($I$30:I30)</f>
        <v>285.61065821525244</v>
      </c>
      <c r="L30" s="25">
        <f>SUMSQ($I$30:I30)/B30</f>
        <v>81573.448086149743</v>
      </c>
      <c r="M30" s="25">
        <f>SUM($J$30:J30)/B30</f>
        <v>285.61065821525244</v>
      </c>
      <c r="N30" s="25">
        <f t="shared" ref="N30:N49" si="2">J30/C30*100</f>
        <v>12.693807031788998</v>
      </c>
      <c r="O30" s="25">
        <f>AVERAGE($N$30:N30)</f>
        <v>12.693807031788998</v>
      </c>
      <c r="P30" s="41">
        <f>SUM($I$30:I30)/M30</f>
        <v>1</v>
      </c>
    </row>
    <row r="31" spans="1:18" x14ac:dyDescent="0.2">
      <c r="A31" s="46" t="s">
        <v>48</v>
      </c>
      <c r="B31" s="13">
        <v>2</v>
      </c>
      <c r="C31" s="78">
        <v>1737</v>
      </c>
      <c r="D31" s="15">
        <f t="shared" ref="D31:D49" si="3">alpha*(C31/F31)+(1-alpha)*(D30+E30)</f>
        <v>3000.4147597563438</v>
      </c>
      <c r="E31" s="15">
        <f t="shared" ref="E31:E49" si="4">beta*(D31-D30)+(1-beta)*E30</f>
        <v>222.56902038071098</v>
      </c>
      <c r="F31" s="17">
        <f>S55</f>
        <v>0.59887531852775955</v>
      </c>
      <c r="G31" s="25">
        <f t="shared" ref="G31:G49" si="5">(D30+E30)*F31</f>
        <v>1803.5270499605238</v>
      </c>
      <c r="H31" s="34"/>
      <c r="I31" s="25">
        <f t="shared" si="0"/>
        <v>66.527049960523755</v>
      </c>
      <c r="J31" s="25">
        <f t="shared" si="1"/>
        <v>66.527049960523755</v>
      </c>
      <c r="K31" s="25">
        <f>SUM($I$30:I31)</f>
        <v>352.1377081757762</v>
      </c>
      <c r="L31" s="25">
        <f>SUMSQ($I$30:I31)/B31</f>
        <v>42999.648231299885</v>
      </c>
      <c r="M31" s="25">
        <f>SUM($J$30:J31)/B31</f>
        <v>176.0688540878881</v>
      </c>
      <c r="N31" s="25">
        <f t="shared" si="2"/>
        <v>3.8299971192011375</v>
      </c>
      <c r="O31" s="25">
        <f>AVERAGE($N$30:N31)</f>
        <v>8.2619020754950672</v>
      </c>
      <c r="P31" s="41">
        <f>SUM($I$30:I31)/M31</f>
        <v>2</v>
      </c>
      <c r="R31" t="s">
        <v>10</v>
      </c>
    </row>
    <row r="32" spans="1:18" ht="13.5" thickBot="1" x14ac:dyDescent="0.25">
      <c r="A32" s="46" t="s">
        <v>5</v>
      </c>
      <c r="B32" s="13">
        <v>3</v>
      </c>
      <c r="C32" s="78">
        <v>2412</v>
      </c>
      <c r="D32" s="15">
        <f t="shared" si="3"/>
        <v>3246.4571505732629</v>
      </c>
      <c r="E32" s="15">
        <f t="shared" si="4"/>
        <v>224.91635742433181</v>
      </c>
      <c r="F32" s="17">
        <f>S56</f>
        <v>0.69757000414664849</v>
      </c>
      <c r="G32" s="25">
        <f t="shared" si="5"/>
        <v>2248.2568088747862</v>
      </c>
      <c r="H32" s="34"/>
      <c r="I32" s="25">
        <f t="shared" si="0"/>
        <v>-163.7431911252138</v>
      </c>
      <c r="J32" s="25">
        <f t="shared" si="1"/>
        <v>163.7431911252138</v>
      </c>
      <c r="K32" s="25">
        <f>SUM($I$30:I32)</f>
        <v>188.3945170505624</v>
      </c>
      <c r="L32" s="25">
        <f>SUMSQ($I$30:I32)/B32</f>
        <v>37603.709700822692</v>
      </c>
      <c r="M32" s="25">
        <f>SUM($J$30:J32)/B32</f>
        <v>171.96029976699666</v>
      </c>
      <c r="N32" s="25">
        <f t="shared" si="2"/>
        <v>6.788689515970721</v>
      </c>
      <c r="O32" s="25">
        <f>AVERAGE($N$30:N32)</f>
        <v>7.7708312223202851</v>
      </c>
      <c r="P32" s="41">
        <f>SUM($I$30:I32)/M32</f>
        <v>1.095569833885111</v>
      </c>
    </row>
    <row r="33" spans="1:26" x14ac:dyDescent="0.2">
      <c r="A33" s="46" t="s">
        <v>3</v>
      </c>
      <c r="B33" s="13">
        <v>4</v>
      </c>
      <c r="C33" s="78">
        <v>7269</v>
      </c>
      <c r="D33" s="15">
        <f t="shared" si="3"/>
        <v>3528.0045327768757</v>
      </c>
      <c r="E33" s="15">
        <f t="shared" si="4"/>
        <v>230.57945990225991</v>
      </c>
      <c r="F33" s="17">
        <f>S57</f>
        <v>1.800289581762214</v>
      </c>
      <c r="G33" s="25">
        <f t="shared" si="5"/>
        <v>6249.4775608534192</v>
      </c>
      <c r="H33" s="34"/>
      <c r="I33" s="25">
        <f t="shared" si="0"/>
        <v>-1019.5224391465808</v>
      </c>
      <c r="J33" s="25">
        <f t="shared" si="1"/>
        <v>1019.5224391465808</v>
      </c>
      <c r="K33" s="25">
        <f>SUM($I$30:I33)</f>
        <v>-831.12792209601844</v>
      </c>
      <c r="L33" s="25">
        <f>SUMSQ($I$30:I33)/B33</f>
        <v>288059.28325646545</v>
      </c>
      <c r="M33" s="25">
        <f>SUM($J$30:J33)/B33</f>
        <v>383.85083461189271</v>
      </c>
      <c r="N33" s="25">
        <f t="shared" si="2"/>
        <v>14.025621669371038</v>
      </c>
      <c r="O33" s="25">
        <f>AVERAGE($N$30:N33)</f>
        <v>9.334528834082974</v>
      </c>
      <c r="P33" s="41">
        <f>SUM($I$30:I33)/M33</f>
        <v>-2.1652367199783806</v>
      </c>
      <c r="R33" s="6" t="s">
        <v>11</v>
      </c>
      <c r="S33" s="6"/>
    </row>
    <row r="34" spans="1:26" x14ac:dyDescent="0.2">
      <c r="A34" s="46" t="s">
        <v>4</v>
      </c>
      <c r="B34" s="13">
        <v>5</v>
      </c>
      <c r="C34" s="78">
        <v>3514</v>
      </c>
      <c r="D34" s="15">
        <f t="shared" si="3"/>
        <v>3777.5309767362924</v>
      </c>
      <c r="E34" s="15">
        <f t="shared" si="4"/>
        <v>232.47415830797559</v>
      </c>
      <c r="F34" s="17">
        <f>gamma*(C30/D30)+(1-gamma)*F30</f>
        <v>0.89005878552235451</v>
      </c>
      <c r="G34" s="25">
        <f t="shared" si="5"/>
        <v>3345.3607038077535</v>
      </c>
      <c r="H34" s="34"/>
      <c r="I34" s="25">
        <f t="shared" si="0"/>
        <v>-168.63929619224655</v>
      </c>
      <c r="J34" s="25">
        <f t="shared" si="1"/>
        <v>168.63929619224655</v>
      </c>
      <c r="K34" s="25">
        <f>SUM($I$30:I34)</f>
        <v>-999.76721828826498</v>
      </c>
      <c r="L34" s="25">
        <f>SUMSQ($I$30:I34)/B34</f>
        <v>236135.2690492156</v>
      </c>
      <c r="M34" s="25">
        <f>SUM($J$30:J34)/B34</f>
        <v>340.8085269279635</v>
      </c>
      <c r="N34" s="25">
        <f t="shared" si="2"/>
        <v>4.7990693281800381</v>
      </c>
      <c r="O34" s="25">
        <f>AVERAGE($N$30:N34)</f>
        <v>8.4274369329023866</v>
      </c>
      <c r="P34" s="41">
        <f>SUM($I$30:I34)/M34</f>
        <v>-2.9335158580101641</v>
      </c>
      <c r="R34" s="3" t="s">
        <v>12</v>
      </c>
      <c r="S34" s="3">
        <v>0.95541269928121775</v>
      </c>
    </row>
    <row r="35" spans="1:26" x14ac:dyDescent="0.2">
      <c r="A35" s="46" t="s">
        <v>48</v>
      </c>
      <c r="B35" s="13">
        <v>6</v>
      </c>
      <c r="C35" s="78">
        <v>2143</v>
      </c>
      <c r="D35" s="15">
        <f t="shared" si="3"/>
        <v>3968.0383937213292</v>
      </c>
      <c r="E35" s="15">
        <f t="shared" si="4"/>
        <v>228.27748417568171</v>
      </c>
      <c r="F35" s="17">
        <f t="shared" ref="F35:F53" si="6">gamma*(C31/D31)+(1-gamma)*F31</f>
        <v>0.59687978291823152</v>
      </c>
      <c r="G35" s="25">
        <f t="shared" si="5"/>
        <v>2393.4909945062163</v>
      </c>
      <c r="H35" s="34"/>
      <c r="I35" s="25">
        <f t="shared" si="0"/>
        <v>250.49099450621634</v>
      </c>
      <c r="J35" s="25">
        <f t="shared" si="1"/>
        <v>250.49099450621634</v>
      </c>
      <c r="K35" s="25">
        <f>SUM($I$30:I35)</f>
        <v>-749.27622378204865</v>
      </c>
      <c r="L35" s="25">
        <f>SUMSQ($I$30:I35)/B35</f>
        <v>207237.01392913188</v>
      </c>
      <c r="M35" s="25">
        <f>SUM($J$30:J35)/B35</f>
        <v>325.75560485767227</v>
      </c>
      <c r="N35" s="25">
        <f t="shared" si="2"/>
        <v>11.688800490257412</v>
      </c>
      <c r="O35" s="25">
        <f>AVERAGE($N$30:N35)</f>
        <v>8.9709975257948908</v>
      </c>
      <c r="P35" s="41">
        <f>SUM($I$30:I35)/M35</f>
        <v>-2.3001176729082502</v>
      </c>
      <c r="R35" s="3" t="s">
        <v>13</v>
      </c>
      <c r="S35" s="3">
        <v>0.91281342594782267</v>
      </c>
    </row>
    <row r="36" spans="1:26" x14ac:dyDescent="0.2">
      <c r="A36" s="46" t="s">
        <v>5</v>
      </c>
      <c r="B36" s="13">
        <v>7</v>
      </c>
      <c r="C36" s="78">
        <v>3459</v>
      </c>
      <c r="D36" s="15">
        <f t="shared" si="3"/>
        <v>4269.3425712187909</v>
      </c>
      <c r="E36" s="15">
        <f t="shared" si="4"/>
        <v>235.58015350785973</v>
      </c>
      <c r="F36" s="17">
        <f t="shared" si="6"/>
        <v>0.70210937938487306</v>
      </c>
      <c r="G36" s="25">
        <f t="shared" si="5"/>
        <v>2946.272736733159</v>
      </c>
      <c r="H36" s="34"/>
      <c r="I36" s="25">
        <f t="shared" si="0"/>
        <v>-512.72726326684096</v>
      </c>
      <c r="J36" s="25">
        <f t="shared" si="1"/>
        <v>512.72726326684096</v>
      </c>
      <c r="K36" s="25">
        <f>SUM($I$30:I36)</f>
        <v>-1262.0034870488896</v>
      </c>
      <c r="L36" s="25">
        <f>SUMSQ($I$30:I36)/B36</f>
        <v>215187.33286741367</v>
      </c>
      <c r="M36" s="25">
        <f>SUM($J$30:J36)/B36</f>
        <v>352.46584177326775</v>
      </c>
      <c r="N36" s="25">
        <f t="shared" si="2"/>
        <v>14.822991132316881</v>
      </c>
      <c r="O36" s="25">
        <f>AVERAGE($N$30:N36)</f>
        <v>9.8069966124408889</v>
      </c>
      <c r="P36" s="41">
        <f>SUM($I$30:I36)/M36</f>
        <v>-3.5804986965537049</v>
      </c>
      <c r="R36" s="3" t="s">
        <v>14</v>
      </c>
      <c r="S36" s="3">
        <v>0.90658581351552425</v>
      </c>
    </row>
    <row r="37" spans="1:26" x14ac:dyDescent="0.2">
      <c r="A37" s="46" t="s">
        <v>3</v>
      </c>
      <c r="B37" s="13">
        <v>8</v>
      </c>
      <c r="C37" s="78">
        <v>7056</v>
      </c>
      <c r="D37" s="15">
        <f t="shared" si="3"/>
        <v>4440.7858484598355</v>
      </c>
      <c r="E37" s="15">
        <f t="shared" si="4"/>
        <v>229.16646588117823</v>
      </c>
      <c r="F37" s="17">
        <f t="shared" si="6"/>
        <v>1.8262977738353039</v>
      </c>
      <c r="G37" s="25">
        <f t="shared" si="5"/>
        <v>8227.330343468353</v>
      </c>
      <c r="H37" s="34"/>
      <c r="I37" s="25">
        <f t="shared" si="0"/>
        <v>1171.330343468353</v>
      </c>
      <c r="J37" s="25">
        <f t="shared" si="1"/>
        <v>1171.330343468353</v>
      </c>
      <c r="K37" s="25">
        <f>SUM($I$30:I37)</f>
        <v>-90.673143580536589</v>
      </c>
      <c r="L37" s="25">
        <f>SUMSQ($I$30:I37)/B37</f>
        <v>359790.76295019814</v>
      </c>
      <c r="M37" s="25">
        <f>SUM($J$30:J37)/B37</f>
        <v>454.82390448515343</v>
      </c>
      <c r="N37" s="25">
        <f t="shared" si="2"/>
        <v>16.600486727159197</v>
      </c>
      <c r="O37" s="25">
        <f>AVERAGE($N$30:N37)</f>
        <v>10.656182876780678</v>
      </c>
      <c r="P37" s="41">
        <f>SUM($I$30:I37)/M37</f>
        <v>-0.19935879070203177</v>
      </c>
      <c r="R37" s="3" t="s">
        <v>15</v>
      </c>
      <c r="S37" s="3">
        <v>345.50893458873963</v>
      </c>
    </row>
    <row r="38" spans="1:26" ht="13.5" thickBot="1" x14ac:dyDescent="0.25">
      <c r="A38" s="46" t="s">
        <v>4</v>
      </c>
      <c r="B38" s="13">
        <v>9</v>
      </c>
      <c r="C38" s="78">
        <v>4120</v>
      </c>
      <c r="D38" s="15">
        <f t="shared" si="3"/>
        <v>4663.7676953358477</v>
      </c>
      <c r="E38" s="15">
        <f t="shared" si="4"/>
        <v>228.54800398066163</v>
      </c>
      <c r="F38" s="17">
        <f t="shared" si="6"/>
        <v>0.89407663123977477</v>
      </c>
      <c r="G38" s="25">
        <f t="shared" si="5"/>
        <v>4175.2952332564028</v>
      </c>
      <c r="H38" s="34"/>
      <c r="I38" s="25">
        <f t="shared" si="0"/>
        <v>55.295233256402753</v>
      </c>
      <c r="J38" s="25">
        <f t="shared" si="1"/>
        <v>55.295233256402753</v>
      </c>
      <c r="K38" s="25">
        <f>SUM($I$30:I38)</f>
        <v>-35.377910324133836</v>
      </c>
      <c r="L38" s="25">
        <f>SUMSQ($I$30:I38)/B38</f>
        <v>320153.74071360729</v>
      </c>
      <c r="M38" s="25">
        <f>SUM($J$30:J38)/B38</f>
        <v>410.43182990418114</v>
      </c>
      <c r="N38" s="25">
        <f t="shared" si="2"/>
        <v>1.3421173120486105</v>
      </c>
      <c r="O38" s="25">
        <f>AVERAGE($N$30:N38)</f>
        <v>9.6212867029215587</v>
      </c>
      <c r="P38" s="41">
        <f>SUM($I$30:I38)/M38</f>
        <v>-8.6196799922640302E-2</v>
      </c>
      <c r="R38" s="4" t="s">
        <v>16</v>
      </c>
      <c r="S38" s="4">
        <v>16</v>
      </c>
    </row>
    <row r="39" spans="1:26" x14ac:dyDescent="0.2">
      <c r="A39" s="46" t="s">
        <v>48</v>
      </c>
      <c r="B39" s="13">
        <v>10</v>
      </c>
      <c r="C39" s="78">
        <v>2766</v>
      </c>
      <c r="D39" s="15">
        <f t="shared" si="3"/>
        <v>4870.9474198883881</v>
      </c>
      <c r="E39" s="15">
        <f t="shared" si="4"/>
        <v>226.41117603784954</v>
      </c>
      <c r="F39" s="17">
        <f t="shared" si="6"/>
        <v>0.5911983385196008</v>
      </c>
      <c r="G39" s="25">
        <f t="shared" si="5"/>
        <v>2892.3289129492791</v>
      </c>
      <c r="H39" s="34"/>
      <c r="I39" s="25">
        <f t="shared" si="0"/>
        <v>126.32891294927913</v>
      </c>
      <c r="J39" s="25">
        <f t="shared" si="1"/>
        <v>126.32891294927913</v>
      </c>
      <c r="K39" s="25">
        <f>SUM($I$30:I39)</f>
        <v>90.951002625145293</v>
      </c>
      <c r="L39" s="25">
        <f>SUMSQ($I$30:I39)/B39</f>
        <v>289734.2660669412</v>
      </c>
      <c r="M39" s="25">
        <f>SUM($J$30:J39)/B39</f>
        <v>382.02153820869091</v>
      </c>
      <c r="N39" s="25">
        <f t="shared" si="2"/>
        <v>4.5672058188459559</v>
      </c>
      <c r="O39" s="25">
        <f>AVERAGE($N$30:N39)</f>
        <v>9.1158786145139992</v>
      </c>
      <c r="P39" s="41">
        <f>SUM($I$30:I39)/M39</f>
        <v>0.23807820640589258</v>
      </c>
    </row>
    <row r="40" spans="1:26" ht="13.5" thickBot="1" x14ac:dyDescent="0.25">
      <c r="A40" s="46" t="s">
        <v>5</v>
      </c>
      <c r="B40" s="13">
        <v>11</v>
      </c>
      <c r="C40" s="78">
        <v>2556</v>
      </c>
      <c r="D40" s="15">
        <f t="shared" si="3"/>
        <v>4946.1492723878564</v>
      </c>
      <c r="E40" s="15">
        <f t="shared" si="4"/>
        <v>211.29024368401141</v>
      </c>
      <c r="F40" s="17">
        <f t="shared" si="6"/>
        <v>0.71291794134124986</v>
      </c>
      <c r="G40" s="25">
        <f t="shared" si="5"/>
        <v>3633.998396485857</v>
      </c>
      <c r="H40" s="34"/>
      <c r="I40" s="25">
        <f t="shared" si="0"/>
        <v>1077.998396485857</v>
      </c>
      <c r="J40" s="25">
        <f t="shared" si="1"/>
        <v>1077.998396485857</v>
      </c>
      <c r="K40" s="25">
        <f>SUM($I$30:I40)</f>
        <v>1168.9493991110023</v>
      </c>
      <c r="L40" s="25">
        <f>SUMSQ($I$30:I40)/B40</f>
        <v>369038.47304504464</v>
      </c>
      <c r="M40" s="25">
        <f>SUM($J$30:J40)/B40</f>
        <v>445.29216168843328</v>
      </c>
      <c r="N40" s="25">
        <f t="shared" si="2"/>
        <v>42.1752111301196</v>
      </c>
      <c r="O40" s="25">
        <f>AVERAGE($N$30:N40)</f>
        <v>12.121272479569056</v>
      </c>
      <c r="P40" s="41">
        <f>SUM($I$30:I40)/M40</f>
        <v>2.6251290718404903</v>
      </c>
      <c r="R40" t="s">
        <v>17</v>
      </c>
    </row>
    <row r="41" spans="1:26" x14ac:dyDescent="0.2">
      <c r="A41" s="46" t="s">
        <v>3</v>
      </c>
      <c r="B41" s="13">
        <v>12</v>
      </c>
      <c r="C41" s="78">
        <v>8253</v>
      </c>
      <c r="D41" s="15">
        <f t="shared" si="3"/>
        <v>5099.5447082948267</v>
      </c>
      <c r="E41" s="15">
        <f t="shared" si="4"/>
        <v>205.5007629063073</v>
      </c>
      <c r="F41" s="17">
        <f t="shared" si="6"/>
        <v>1.802558792828437</v>
      </c>
      <c r="G41" s="25">
        <f t="shared" si="5"/>
        <v>9296.587948176184</v>
      </c>
      <c r="H41" s="34"/>
      <c r="I41" s="25">
        <f t="shared" si="0"/>
        <v>1043.587948176184</v>
      </c>
      <c r="J41" s="25">
        <f t="shared" si="1"/>
        <v>1043.587948176184</v>
      </c>
      <c r="K41" s="25">
        <f>SUM($I$30:I41)</f>
        <v>2212.5373472871861</v>
      </c>
      <c r="L41" s="25">
        <f>SUMSQ($I$30:I41)/B41</f>
        <v>429041.58408950578</v>
      </c>
      <c r="M41" s="25">
        <f>SUM($J$30:J41)/B41</f>
        <v>495.15014389574588</v>
      </c>
      <c r="N41" s="25">
        <f t="shared" si="2"/>
        <v>12.644952722357736</v>
      </c>
      <c r="O41" s="25">
        <f>AVERAGE($N$30:N41)</f>
        <v>12.164912499801446</v>
      </c>
      <c r="P41" s="41">
        <f>SUM($I$30:I41)/M41</f>
        <v>4.4684170540260144</v>
      </c>
      <c r="R41" s="5"/>
      <c r="S41" s="5" t="s">
        <v>21</v>
      </c>
      <c r="T41" s="5" t="s">
        <v>22</v>
      </c>
      <c r="U41" s="5" t="s">
        <v>23</v>
      </c>
      <c r="V41" s="5" t="s">
        <v>24</v>
      </c>
      <c r="W41" s="5" t="s">
        <v>25</v>
      </c>
    </row>
    <row r="42" spans="1:26" x14ac:dyDescent="0.2">
      <c r="A42" s="46" t="s">
        <v>4</v>
      </c>
      <c r="B42" s="13">
        <v>13</v>
      </c>
      <c r="C42" s="78">
        <v>5491</v>
      </c>
      <c r="D42" s="15">
        <f t="shared" si="3"/>
        <v>5389.4279582327954</v>
      </c>
      <c r="E42" s="15">
        <f t="shared" si="4"/>
        <v>213.93901160947345</v>
      </c>
      <c r="F42" s="17">
        <f t="shared" si="6"/>
        <v>0.89300956029667167</v>
      </c>
      <c r="G42" s="25">
        <f t="shared" si="5"/>
        <v>4737.4563235911746</v>
      </c>
      <c r="H42" s="34"/>
      <c r="I42" s="25">
        <f t="shared" si="0"/>
        <v>-753.54367640882538</v>
      </c>
      <c r="J42" s="25">
        <f t="shared" si="1"/>
        <v>753.54367640882538</v>
      </c>
      <c r="K42" s="25">
        <f>SUM($I$30:I42)</f>
        <v>1458.9936708783607</v>
      </c>
      <c r="L42" s="25">
        <f>SUMSQ($I$30:I42)/B42</f>
        <v>439717.46779459988</v>
      </c>
      <c r="M42" s="25">
        <f>SUM($J$30:J42)/B42</f>
        <v>515.02656947367507</v>
      </c>
      <c r="N42" s="25">
        <f t="shared" si="2"/>
        <v>13.723250344360324</v>
      </c>
      <c r="O42" s="25">
        <f>AVERAGE($N$30:N42)</f>
        <v>12.284784641690591</v>
      </c>
      <c r="P42" s="41">
        <f>SUM($I$30:I42)/M42</f>
        <v>2.8328512689536796</v>
      </c>
      <c r="R42" s="3" t="s">
        <v>18</v>
      </c>
      <c r="S42" s="3">
        <v>1</v>
      </c>
      <c r="T42" s="3">
        <v>17497621.061764706</v>
      </c>
      <c r="U42" s="3">
        <v>17497621.061764706</v>
      </c>
      <c r="V42" s="3">
        <v>146.57518204146442</v>
      </c>
      <c r="W42" s="3">
        <v>8.346873387958647E-9</v>
      </c>
    </row>
    <row r="43" spans="1:26" x14ac:dyDescent="0.2">
      <c r="A43" s="46" t="s">
        <v>48</v>
      </c>
      <c r="B43" s="13">
        <v>14</v>
      </c>
      <c r="C43" s="78">
        <v>4382</v>
      </c>
      <c r="D43" s="15">
        <f t="shared" si="3"/>
        <v>5787.1747136345602</v>
      </c>
      <c r="E43" s="15">
        <f t="shared" si="4"/>
        <v>232.31978598870262</v>
      </c>
      <c r="F43" s="17">
        <f t="shared" si="6"/>
        <v>0.58886417204533092</v>
      </c>
      <c r="G43" s="25">
        <f t="shared" si="5"/>
        <v>3299.6220513623225</v>
      </c>
      <c r="H43" s="34"/>
      <c r="I43" s="25">
        <f t="shared" si="0"/>
        <v>-1082.3779486376775</v>
      </c>
      <c r="J43" s="25">
        <f t="shared" si="1"/>
        <v>1082.3779486376775</v>
      </c>
      <c r="K43" s="25">
        <f>SUM($I$30:I43)</f>
        <v>376.61572224068323</v>
      </c>
      <c r="L43" s="25">
        <f>SUMSQ($I$30:I43)/B43</f>
        <v>491990.65035906469</v>
      </c>
      <c r="M43" s="25">
        <f>SUM($J$30:J43)/B43</f>
        <v>555.5516679853896</v>
      </c>
      <c r="N43" s="25">
        <f t="shared" si="2"/>
        <v>24.700546522995833</v>
      </c>
      <c r="O43" s="25">
        <f>AVERAGE($N$30:N43)</f>
        <v>13.171624776069537</v>
      </c>
      <c r="P43" s="41">
        <f>SUM($I$30:I43)/M43</f>
        <v>0.67791304381537343</v>
      </c>
      <c r="R43" s="3" t="s">
        <v>19</v>
      </c>
      <c r="S43" s="3">
        <v>14</v>
      </c>
      <c r="T43" s="3">
        <v>1671269.9343290438</v>
      </c>
      <c r="U43" s="3">
        <v>119376.42388064599</v>
      </c>
      <c r="V43" s="3"/>
      <c r="W43" s="3"/>
    </row>
    <row r="44" spans="1:26" ht="13.5" thickBot="1" x14ac:dyDescent="0.25">
      <c r="A44" s="46" t="s">
        <v>5</v>
      </c>
      <c r="B44" s="13">
        <v>15</v>
      </c>
      <c r="C44" s="78">
        <v>4315</v>
      </c>
      <c r="D44" s="15">
        <f t="shared" si="3"/>
        <v>6039.9283072956041</v>
      </c>
      <c r="E44" s="15">
        <f t="shared" si="4"/>
        <v>234.36316675593676</v>
      </c>
      <c r="F44" s="17">
        <f t="shared" si="6"/>
        <v>0.69330271132274923</v>
      </c>
      <c r="G44" s="25">
        <f t="shared" si="5"/>
        <v>4173.3318573811839</v>
      </c>
      <c r="H44" s="34"/>
      <c r="I44" s="25">
        <f t="shared" si="0"/>
        <v>-141.66814261881609</v>
      </c>
      <c r="J44" s="25">
        <f t="shared" si="1"/>
        <v>141.66814261881609</v>
      </c>
      <c r="K44" s="25">
        <f>SUM($I$30:I44)</f>
        <v>234.94757962186713</v>
      </c>
      <c r="L44" s="25">
        <f>SUMSQ($I$30:I44)/B44</f>
        <v>460529.26451066474</v>
      </c>
      <c r="M44" s="25">
        <f>SUM($J$30:J44)/B44</f>
        <v>527.95943296095129</v>
      </c>
      <c r="N44" s="25">
        <f t="shared" si="2"/>
        <v>3.2831551012471865</v>
      </c>
      <c r="O44" s="25">
        <f>AVERAGE($N$30:N44)</f>
        <v>12.512393464414714</v>
      </c>
      <c r="P44" s="41">
        <f>SUM($I$30:I44)/M44</f>
        <v>0.44501066739959966</v>
      </c>
      <c r="R44" s="4" t="s">
        <v>0</v>
      </c>
      <c r="S44" s="4">
        <v>15</v>
      </c>
      <c r="T44" s="4">
        <v>19168890.99609375</v>
      </c>
      <c r="U44" s="4"/>
      <c r="V44" s="4"/>
      <c r="W44" s="4"/>
    </row>
    <row r="45" spans="1:26" ht="13.5" thickBot="1" x14ac:dyDescent="0.25">
      <c r="A45" s="46" t="s">
        <v>3</v>
      </c>
      <c r="B45" s="13">
        <v>16</v>
      </c>
      <c r="C45" s="78">
        <v>12035</v>
      </c>
      <c r="D45" s="15">
        <f t="shared" si="3"/>
        <v>6321.4166772995268</v>
      </c>
      <c r="E45" s="15">
        <f t="shared" si="4"/>
        <v>239.07568708073535</v>
      </c>
      <c r="F45" s="17">
        <f t="shared" si="6"/>
        <v>1.784140890700217</v>
      </c>
      <c r="G45" s="25">
        <f t="shared" si="5"/>
        <v>11194.219979027093</v>
      </c>
      <c r="H45" s="34"/>
      <c r="I45" s="25">
        <f t="shared" si="0"/>
        <v>-840.78002097290664</v>
      </c>
      <c r="J45" s="25">
        <f t="shared" si="1"/>
        <v>840.78002097290664</v>
      </c>
      <c r="K45" s="25">
        <f>SUM($I$30:I45)</f>
        <v>-605.83244135103951</v>
      </c>
      <c r="L45" s="25">
        <f>SUMSQ($I$30:I45)/B45</f>
        <v>475928.12570794823</v>
      </c>
      <c r="M45" s="25">
        <f>SUM($J$30:J45)/B45</f>
        <v>547.51071971169858</v>
      </c>
      <c r="N45" s="25">
        <f t="shared" si="2"/>
        <v>6.9861239798330423</v>
      </c>
      <c r="O45" s="25">
        <f>AVERAGE($N$30:N45)</f>
        <v>12.16700162162836</v>
      </c>
      <c r="P45" s="41">
        <f>SUM($I$30:I45)/M45</f>
        <v>-1.1065216068647044</v>
      </c>
    </row>
    <row r="46" spans="1:26" x14ac:dyDescent="0.2">
      <c r="A46" s="46" t="s">
        <v>4</v>
      </c>
      <c r="B46" s="13">
        <v>17</v>
      </c>
      <c r="C46" s="78">
        <v>5648</v>
      </c>
      <c r="D46" s="15">
        <f t="shared" si="3"/>
        <v>6528.1226829367479</v>
      </c>
      <c r="E46" s="15">
        <f t="shared" si="4"/>
        <v>235.83871893638391</v>
      </c>
      <c r="F46" s="17">
        <f t="shared" si="6"/>
        <v>0.90559325775072064</v>
      </c>
      <c r="G46" s="25">
        <f t="shared" si="5"/>
        <v>5941.1376527078492</v>
      </c>
      <c r="H46" s="34"/>
      <c r="I46" s="25">
        <f t="shared" si="0"/>
        <v>293.13765270784916</v>
      </c>
      <c r="J46" s="25">
        <f t="shared" si="1"/>
        <v>293.13765270784916</v>
      </c>
      <c r="K46" s="25">
        <f>SUM($I$30:I46)</f>
        <v>-312.69478864319035</v>
      </c>
      <c r="L46" s="25">
        <f>SUMSQ($I$30:I46)/B46</f>
        <v>452987.04086836701</v>
      </c>
      <c r="M46" s="25">
        <f>SUM($J$30:J46)/B46</f>
        <v>532.54759812323687</v>
      </c>
      <c r="N46" s="25">
        <f t="shared" si="2"/>
        <v>5.1901142476602189</v>
      </c>
      <c r="O46" s="25">
        <f>AVERAGE($N$30:N46)</f>
        <v>11.756596481983175</v>
      </c>
      <c r="P46" s="41">
        <f>SUM($I$30:I46)/M46</f>
        <v>-0.58716777569773138</v>
      </c>
      <c r="R46" s="5"/>
      <c r="S46" s="5" t="s">
        <v>26</v>
      </c>
      <c r="T46" s="5" t="s">
        <v>15</v>
      </c>
      <c r="U46" s="5" t="s">
        <v>27</v>
      </c>
      <c r="V46" s="5" t="s">
        <v>28</v>
      </c>
      <c r="W46" s="5" t="s">
        <v>29</v>
      </c>
      <c r="X46" s="5" t="s">
        <v>30</v>
      </c>
      <c r="Y46" s="5" t="s">
        <v>31</v>
      </c>
      <c r="Z46" s="5" t="s">
        <v>32</v>
      </c>
    </row>
    <row r="47" spans="1:26" x14ac:dyDescent="0.2">
      <c r="A47" s="46" t="s">
        <v>48</v>
      </c>
      <c r="B47" s="13">
        <v>18</v>
      </c>
      <c r="C47" s="78">
        <v>3696</v>
      </c>
      <c r="D47" s="15">
        <f t="shared" si="3"/>
        <v>6697.7714420328457</v>
      </c>
      <c r="E47" s="15">
        <f t="shared" si="4"/>
        <v>229.21972295235531</v>
      </c>
      <c r="F47" s="17">
        <f t="shared" si="6"/>
        <v>0.60569691344293974</v>
      </c>
      <c r="G47" s="25">
        <f t="shared" si="5"/>
        <v>4096.9105437617354</v>
      </c>
      <c r="H47" s="34"/>
      <c r="I47" s="25">
        <f t="shared" si="0"/>
        <v>400.91054376173543</v>
      </c>
      <c r="J47" s="25">
        <f t="shared" si="1"/>
        <v>400.91054376173543</v>
      </c>
      <c r="K47" s="25">
        <f>SUM($I$30:I47)</f>
        <v>88.215755118545076</v>
      </c>
      <c r="L47" s="25">
        <f>SUMSQ($I$30:I47)/B47</f>
        <v>436750.49771453167</v>
      </c>
      <c r="M47" s="25">
        <f>SUM($J$30:J47)/B47</f>
        <v>525.23442843648684</v>
      </c>
      <c r="N47" s="25">
        <f t="shared" si="2"/>
        <v>10.847146746800201</v>
      </c>
      <c r="O47" s="25">
        <f>AVERAGE($N$30:N47)</f>
        <v>11.706071496695232</v>
      </c>
      <c r="P47" s="41">
        <f>SUM($I$30:I47)/M47</f>
        <v>0.16795501273811192</v>
      </c>
      <c r="R47" s="3" t="s">
        <v>20</v>
      </c>
      <c r="S47" s="3">
        <v>2592.7476102941223</v>
      </c>
      <c r="T47" s="3">
        <v>214.87342197555552</v>
      </c>
      <c r="U47" s="3">
        <v>12.066395119769997</v>
      </c>
      <c r="V47" s="3">
        <v>8.7135037626668923E-9</v>
      </c>
      <c r="W47" s="3">
        <v>2131.889545340191</v>
      </c>
      <c r="X47" s="3">
        <v>3053.6056752480536</v>
      </c>
      <c r="Y47" s="3">
        <v>2131.889545340191</v>
      </c>
      <c r="Z47" s="3">
        <v>3053.6056752480536</v>
      </c>
    </row>
    <row r="48" spans="1:26" ht="13.5" thickBot="1" x14ac:dyDescent="0.25">
      <c r="A48" s="46" t="s">
        <v>5</v>
      </c>
      <c r="B48" s="13">
        <v>19</v>
      </c>
      <c r="C48" s="78">
        <v>4843</v>
      </c>
      <c r="D48" s="15">
        <f t="shared" si="3"/>
        <v>6930.712050107576</v>
      </c>
      <c r="E48" s="15">
        <f t="shared" si="4"/>
        <v>229.59181146459284</v>
      </c>
      <c r="F48" s="17">
        <f t="shared" si="6"/>
        <v>0.69541368552426297</v>
      </c>
      <c r="G48" s="25">
        <f t="shared" si="5"/>
        <v>4817.1244556363663</v>
      </c>
      <c r="H48" s="34"/>
      <c r="I48" s="25">
        <f t="shared" si="0"/>
        <v>-25.875544363633708</v>
      </c>
      <c r="J48" s="25">
        <f t="shared" si="1"/>
        <v>25.875544363633708</v>
      </c>
      <c r="K48" s="25">
        <f>SUM($I$30:I48)</f>
        <v>62.340210754911368</v>
      </c>
      <c r="L48" s="25">
        <f>SUMSQ($I$30:I48)/B48</f>
        <v>413798.86856093077</v>
      </c>
      <c r="M48" s="25">
        <f>SUM($J$30:J48)/B48</f>
        <v>498.95238190633665</v>
      </c>
      <c r="N48" s="25">
        <f t="shared" si="2"/>
        <v>0.53428751525157359</v>
      </c>
      <c r="O48" s="25">
        <f>AVERAGE($N$30:N48)</f>
        <v>11.118082866092934</v>
      </c>
      <c r="P48" s="41">
        <f>SUM($I$30:I48)/M48</f>
        <v>0.12494220493893518</v>
      </c>
      <c r="R48" s="4" t="s">
        <v>33</v>
      </c>
      <c r="S48" s="4">
        <v>226.85588235294082</v>
      </c>
      <c r="T48" s="4">
        <v>18.737852840192854</v>
      </c>
      <c r="U48" s="4">
        <v>12.106823780061557</v>
      </c>
      <c r="V48" s="4">
        <v>8.3468733879588323E-9</v>
      </c>
      <c r="W48" s="4">
        <v>186.6671492749839</v>
      </c>
      <c r="X48" s="4">
        <v>267.04461543089775</v>
      </c>
      <c r="Y48" s="4">
        <v>186.6671492749839</v>
      </c>
      <c r="Z48" s="4">
        <v>267.04461543089775</v>
      </c>
    </row>
    <row r="49" spans="1:19" ht="13.5" thickBot="1" x14ac:dyDescent="0.25">
      <c r="A49" s="47" t="s">
        <v>3</v>
      </c>
      <c r="B49" s="14">
        <v>20</v>
      </c>
      <c r="C49" s="14">
        <v>13097</v>
      </c>
      <c r="D49" s="16">
        <f t="shared" si="3"/>
        <v>7173.4598963040517</v>
      </c>
      <c r="E49" s="16">
        <f t="shared" si="4"/>
        <v>230.90741493778111</v>
      </c>
      <c r="F49" s="18">
        <f t="shared" si="6"/>
        <v>1.796111340640544</v>
      </c>
      <c r="G49" s="25">
        <f t="shared" si="5"/>
        <v>12860.702968202053</v>
      </c>
      <c r="H49" s="34"/>
      <c r="I49" s="26">
        <f t="shared" si="0"/>
        <v>-236.29703179794706</v>
      </c>
      <c r="J49" s="26">
        <f t="shared" si="1"/>
        <v>236.29703179794706</v>
      </c>
      <c r="K49" s="26">
        <f>SUM($I$30:I49)</f>
        <v>-173.95682104303569</v>
      </c>
      <c r="L49" s="26">
        <f>SUMSQ($I$30:I49)/B49</f>
        <v>395900.73949471023</v>
      </c>
      <c r="M49" s="26">
        <f>SUM($J$30:J49)/B49</f>
        <v>485.8196144009172</v>
      </c>
      <c r="N49" s="26">
        <f t="shared" si="2"/>
        <v>1.8042073131094682</v>
      </c>
      <c r="O49" s="26">
        <f>AVERAGE($N$30:N49)</f>
        <v>10.65238908844376</v>
      </c>
      <c r="P49" s="42">
        <f>SUM($I$30:I49)/M49</f>
        <v>-0.35806874791901622</v>
      </c>
    </row>
    <row r="50" spans="1:19" ht="13.5" thickBot="1" x14ac:dyDescent="0.25">
      <c r="A50" s="45" t="s">
        <v>4</v>
      </c>
      <c r="B50" s="58">
        <v>21</v>
      </c>
      <c r="C50" s="52"/>
      <c r="D50" s="53"/>
      <c r="E50" s="53"/>
      <c r="F50" s="64">
        <f t="shared" si="6"/>
        <v>0.90155191385676092</v>
      </c>
      <c r="G50" s="69">
        <f>($D$49+$E$49*(B50-20))*F50</f>
        <v>6675.4215203485137</v>
      </c>
      <c r="H50" s="34"/>
      <c r="I50" s="34"/>
      <c r="J50" s="34"/>
      <c r="K50" s="34"/>
      <c r="L50" s="76" t="s">
        <v>62</v>
      </c>
      <c r="M50" s="77">
        <f>M49*1.25</f>
        <v>607.27451800114648</v>
      </c>
      <c r="N50" s="34"/>
      <c r="O50" s="34"/>
      <c r="P50" s="35"/>
    </row>
    <row r="51" spans="1:19" x14ac:dyDescent="0.2">
      <c r="A51" s="46" t="s">
        <v>48</v>
      </c>
      <c r="B51" s="13">
        <v>22</v>
      </c>
      <c r="C51" s="52"/>
      <c r="D51" s="53"/>
      <c r="E51" s="53"/>
      <c r="F51" s="65">
        <f t="shared" si="6"/>
        <v>0.60030975605024073</v>
      </c>
      <c r="G51" s="70">
        <f t="shared" ref="G51:G56" si="7">($D$49+$E$49*(B51-20))*F51</f>
        <v>4583.529908249453</v>
      </c>
      <c r="H51" s="34"/>
      <c r="I51" s="34"/>
      <c r="J51" s="34"/>
      <c r="K51" s="34"/>
      <c r="L51" s="34"/>
      <c r="M51" s="34"/>
      <c r="N51" s="34"/>
      <c r="O51" s="34"/>
      <c r="P51" s="35"/>
    </row>
    <row r="52" spans="1:19" x14ac:dyDescent="0.2">
      <c r="A52" s="46" t="s">
        <v>5</v>
      </c>
      <c r="B52" s="13">
        <v>23</v>
      </c>
      <c r="C52" s="52"/>
      <c r="D52" s="53"/>
      <c r="E52" s="53"/>
      <c r="F52" s="65">
        <f t="shared" si="6"/>
        <v>0.69574969703013567</v>
      </c>
      <c r="G52" s="70">
        <f t="shared" si="7"/>
        <v>5472.8938414662916</v>
      </c>
      <c r="H52" s="34"/>
      <c r="I52" s="34"/>
      <c r="J52" s="34"/>
      <c r="K52" s="34"/>
      <c r="L52" s="34"/>
      <c r="M52" s="34"/>
      <c r="N52" s="34"/>
      <c r="O52" s="34"/>
      <c r="P52" s="35"/>
      <c r="R52" s="9"/>
      <c r="S52" s="10"/>
    </row>
    <row r="53" spans="1:19" x14ac:dyDescent="0.2">
      <c r="A53" s="46" t="s">
        <v>3</v>
      </c>
      <c r="B53" s="13">
        <v>24</v>
      </c>
      <c r="C53" s="52"/>
      <c r="D53" s="53"/>
      <c r="E53" s="53"/>
      <c r="F53" s="65">
        <f t="shared" si="6"/>
        <v>1.7990759815766109</v>
      </c>
      <c r="G53" s="70">
        <f t="shared" si="7"/>
        <v>14567.27934097369</v>
      </c>
      <c r="H53" s="34"/>
      <c r="I53" s="34"/>
      <c r="J53" s="34"/>
      <c r="K53" s="34"/>
      <c r="L53" s="34"/>
      <c r="M53" s="34"/>
      <c r="N53" s="34"/>
      <c r="O53" s="34"/>
      <c r="P53" s="35"/>
      <c r="R53" s="87" t="s">
        <v>66</v>
      </c>
      <c r="S53" s="10"/>
    </row>
    <row r="54" spans="1:19" x14ac:dyDescent="0.2">
      <c r="A54" s="46" t="s">
        <v>4</v>
      </c>
      <c r="B54" s="13">
        <v>25</v>
      </c>
      <c r="C54" s="52"/>
      <c r="D54" s="53"/>
      <c r="E54" s="53"/>
      <c r="F54" s="65">
        <f t="shared" ref="F54:F61" si="8">F50</f>
        <v>0.90155191385676092</v>
      </c>
      <c r="G54" s="70">
        <f t="shared" si="7"/>
        <v>7508.1216077920089</v>
      </c>
      <c r="H54" s="34"/>
      <c r="I54" s="34"/>
      <c r="J54" s="34"/>
      <c r="K54" s="34"/>
      <c r="L54" s="34"/>
      <c r="M54" s="34"/>
      <c r="N54" s="34"/>
      <c r="O54" s="34"/>
      <c r="P54" s="35"/>
      <c r="R54" s="9" t="s">
        <v>64</v>
      </c>
      <c r="S54" s="88">
        <f>' Static Forecast'!S53</f>
        <v>0.89927915922490365</v>
      </c>
    </row>
    <row r="55" spans="1:19" x14ac:dyDescent="0.2">
      <c r="A55" s="46" t="s">
        <v>48</v>
      </c>
      <c r="B55" s="13">
        <v>26</v>
      </c>
      <c r="C55" s="52"/>
      <c r="D55" s="53"/>
      <c r="E55" s="53"/>
      <c r="F55" s="65">
        <f t="shared" si="8"/>
        <v>0.60030975605024073</v>
      </c>
      <c r="G55" s="70">
        <f t="shared" si="7"/>
        <v>5137.993803975417</v>
      </c>
      <c r="H55" s="34"/>
      <c r="I55" s="34"/>
      <c r="J55" s="34"/>
      <c r="K55" s="34"/>
      <c r="L55" s="34"/>
      <c r="M55" s="34"/>
      <c r="N55" s="34"/>
      <c r="O55" s="34"/>
      <c r="P55" s="35"/>
      <c r="R55" s="12" t="s">
        <v>65</v>
      </c>
      <c r="S55" s="89">
        <f>' Static Forecast'!S54</f>
        <v>0.59887531852775955</v>
      </c>
    </row>
    <row r="56" spans="1:19" x14ac:dyDescent="0.2">
      <c r="A56" s="46" t="s">
        <v>5</v>
      </c>
      <c r="B56" s="13">
        <v>27</v>
      </c>
      <c r="C56" s="52"/>
      <c r="D56" s="53"/>
      <c r="E56" s="53"/>
      <c r="F56" s="65">
        <f t="shared" si="8"/>
        <v>0.69574969703013567</v>
      </c>
      <c r="G56" s="70">
        <f t="shared" si="7"/>
        <v>6115.5088974061837</v>
      </c>
      <c r="H56" s="34"/>
      <c r="L56" s="34"/>
      <c r="M56" s="34"/>
      <c r="N56" s="34"/>
      <c r="O56" s="34"/>
      <c r="P56" s="35"/>
      <c r="R56" s="12" t="s">
        <v>5</v>
      </c>
      <c r="S56" s="89">
        <f>' Static Forecast'!S55</f>
        <v>0.69757000414664849</v>
      </c>
    </row>
    <row r="57" spans="1:19" x14ac:dyDescent="0.2">
      <c r="A57" s="46" t="s">
        <v>3</v>
      </c>
      <c r="B57" s="13">
        <v>28</v>
      </c>
      <c r="C57" s="52"/>
      <c r="D57" s="53"/>
      <c r="E57" s="53"/>
      <c r="F57" s="65">
        <f t="shared" si="8"/>
        <v>1.7990759815766109</v>
      </c>
      <c r="G57" s="70">
        <f>($D$49+$E$49*(B57-20))*F57</f>
        <v>16228.959277703716</v>
      </c>
      <c r="H57" s="34"/>
      <c r="L57" s="34"/>
      <c r="M57" s="34"/>
      <c r="N57" s="34"/>
      <c r="O57" s="34"/>
      <c r="P57" s="35"/>
      <c r="R57" s="19" t="s">
        <v>3</v>
      </c>
      <c r="S57" s="90">
        <f>' Static Forecast'!S56</f>
        <v>1.800289581762214</v>
      </c>
    </row>
    <row r="58" spans="1:19" x14ac:dyDescent="0.2">
      <c r="A58" s="46" t="s">
        <v>4</v>
      </c>
      <c r="B58" s="13">
        <v>29</v>
      </c>
      <c r="C58" s="52"/>
      <c r="D58" s="53"/>
      <c r="E58" s="53"/>
      <c r="F58" s="65">
        <f t="shared" si="8"/>
        <v>0.90155191385676092</v>
      </c>
      <c r="G58" s="70">
        <f>($D$49+$E$49*(B58-20))*F58</f>
        <v>8340.8216952355033</v>
      </c>
      <c r="H58" s="34"/>
      <c r="L58" s="34"/>
      <c r="M58" s="34"/>
      <c r="N58" s="34"/>
      <c r="O58" s="34"/>
      <c r="P58" s="35"/>
      <c r="R58" s="55"/>
      <c r="S58" s="67"/>
    </row>
    <row r="59" spans="1:19" x14ac:dyDescent="0.2">
      <c r="A59" s="46" t="s">
        <v>48</v>
      </c>
      <c r="B59" s="13">
        <v>30</v>
      </c>
      <c r="C59" s="52"/>
      <c r="D59" s="53"/>
      <c r="E59" s="53"/>
      <c r="F59" s="65">
        <f t="shared" si="8"/>
        <v>0.60030975605024073</v>
      </c>
      <c r="G59" s="70">
        <f>($D$49+$E$49*(B59-20))*F59</f>
        <v>5692.4576997013819</v>
      </c>
      <c r="H59" s="34"/>
      <c r="L59" s="34"/>
      <c r="M59" s="34"/>
      <c r="N59" s="34"/>
      <c r="O59" s="34"/>
      <c r="P59" s="35"/>
      <c r="R59" s="55"/>
      <c r="S59" s="67"/>
    </row>
    <row r="60" spans="1:19" x14ac:dyDescent="0.2">
      <c r="A60" s="46" t="s">
        <v>5</v>
      </c>
      <c r="B60" s="13">
        <v>31</v>
      </c>
      <c r="C60" s="52"/>
      <c r="D60" s="53"/>
      <c r="E60" s="53"/>
      <c r="F60" s="65">
        <f t="shared" si="8"/>
        <v>0.69574969703013567</v>
      </c>
      <c r="G60" s="70">
        <f>($D$49+$E$49*(B60-20))*F60</f>
        <v>6758.1239533460757</v>
      </c>
      <c r="H60" s="34"/>
      <c r="L60" s="34"/>
      <c r="M60" s="34"/>
      <c r="N60" s="34"/>
      <c r="O60" s="34"/>
      <c r="P60" s="35"/>
      <c r="R60" s="55"/>
      <c r="S60" s="67"/>
    </row>
    <row r="61" spans="1:19" x14ac:dyDescent="0.2">
      <c r="A61" s="47" t="s">
        <v>3</v>
      </c>
      <c r="B61" s="14">
        <v>32</v>
      </c>
      <c r="C61" s="52"/>
      <c r="D61" s="53"/>
      <c r="E61" s="53"/>
      <c r="F61" s="66">
        <f t="shared" si="8"/>
        <v>1.7990759815766109</v>
      </c>
      <c r="G61" s="71">
        <f>($D$49+$E$49*(B61-20))*F61</f>
        <v>17890.639214433741</v>
      </c>
      <c r="H61" s="34"/>
      <c r="L61" s="34"/>
      <c r="M61" s="34"/>
      <c r="N61" s="34"/>
      <c r="O61" s="34"/>
      <c r="P61" s="35"/>
      <c r="R61" s="55"/>
      <c r="S61" s="67"/>
    </row>
    <row r="62" spans="1:19" x14ac:dyDescent="0.2">
      <c r="A62" s="1"/>
      <c r="B62" s="52"/>
      <c r="C62" s="52"/>
      <c r="D62" s="53"/>
      <c r="E62" s="53"/>
      <c r="F62" s="54"/>
      <c r="G62" s="34"/>
      <c r="H62" s="34"/>
      <c r="L62" s="34"/>
      <c r="M62" s="34"/>
      <c r="N62" s="34"/>
      <c r="O62" s="34"/>
      <c r="P62" s="35"/>
      <c r="R62" s="55"/>
      <c r="S62" s="67"/>
    </row>
    <row r="63" spans="1:19" x14ac:dyDescent="0.2">
      <c r="A63" s="1"/>
      <c r="B63" s="52"/>
      <c r="C63" s="52"/>
      <c r="D63" s="53"/>
      <c r="E63" s="53"/>
      <c r="F63" s="54"/>
      <c r="G63" s="34"/>
      <c r="H63" s="34"/>
      <c r="L63" s="34"/>
      <c r="M63" s="34"/>
      <c r="N63" s="34"/>
      <c r="O63" s="34"/>
      <c r="P63" s="35"/>
      <c r="R63" s="55"/>
      <c r="S63" s="67"/>
    </row>
    <row r="64" spans="1:19" x14ac:dyDescent="0.2">
      <c r="A64" s="1"/>
      <c r="B64" s="52"/>
      <c r="C64" s="52"/>
      <c r="D64" s="53"/>
      <c r="E64" s="53"/>
      <c r="F64" s="54"/>
      <c r="G64" s="34"/>
      <c r="H64" s="34"/>
      <c r="I64" s="7" t="s">
        <v>51</v>
      </c>
      <c r="J64" s="7" t="s">
        <v>34</v>
      </c>
      <c r="L64" s="34"/>
      <c r="M64" s="34"/>
      <c r="N64" s="34"/>
      <c r="O64" s="34"/>
      <c r="P64" s="35"/>
      <c r="R64" s="55"/>
      <c r="S64" s="67"/>
    </row>
    <row r="65" spans="1:19" ht="16.5" thickBot="1" x14ac:dyDescent="0.3">
      <c r="A65" s="59" t="s">
        <v>52</v>
      </c>
      <c r="B65" s="52"/>
      <c r="C65" s="91"/>
      <c r="D65" s="53"/>
      <c r="E65" s="53"/>
      <c r="F65" s="54"/>
      <c r="G65" s="34"/>
      <c r="H65" s="34"/>
      <c r="L65" s="34"/>
      <c r="M65" s="34"/>
      <c r="N65" s="34"/>
      <c r="O65" s="34"/>
      <c r="P65" s="35"/>
      <c r="R65" s="55"/>
      <c r="S65" s="67"/>
    </row>
    <row r="66" spans="1:19" ht="16.5" thickBot="1" x14ac:dyDescent="0.3">
      <c r="A66" s="1"/>
      <c r="B66" s="52"/>
      <c r="C66" s="91"/>
      <c r="D66" s="53"/>
      <c r="E66" s="53"/>
      <c r="F66" s="54"/>
      <c r="G66" s="34"/>
      <c r="H66" s="34"/>
      <c r="I66" s="61" t="s">
        <v>59</v>
      </c>
      <c r="J66" s="62" t="s">
        <v>54</v>
      </c>
      <c r="K66" s="63">
        <v>0</v>
      </c>
      <c r="L66" s="68" t="s">
        <v>61</v>
      </c>
      <c r="M66" s="34"/>
      <c r="N66" s="34"/>
      <c r="O66" s="34"/>
      <c r="P66" s="35"/>
      <c r="R66" s="55"/>
      <c r="S66" s="67"/>
    </row>
    <row r="67" spans="1:19" ht="16.5" thickBot="1" x14ac:dyDescent="0.3">
      <c r="A67" s="1"/>
      <c r="B67" s="52"/>
      <c r="C67" s="91"/>
      <c r="D67" s="53"/>
      <c r="E67" s="53"/>
      <c r="F67" s="54"/>
      <c r="G67" s="34"/>
      <c r="H67" s="34"/>
      <c r="I67" s="61" t="s">
        <v>56</v>
      </c>
      <c r="J67" s="62" t="s">
        <v>54</v>
      </c>
      <c r="K67" s="63">
        <v>0</v>
      </c>
      <c r="L67" s="34"/>
      <c r="M67" s="34"/>
      <c r="N67" s="34"/>
      <c r="O67" s="34"/>
      <c r="P67" s="35"/>
    </row>
    <row r="68" spans="1:19" ht="16.5" thickBot="1" x14ac:dyDescent="0.3">
      <c r="A68" s="1"/>
      <c r="B68" s="52"/>
      <c r="C68" s="91"/>
      <c r="D68" s="53"/>
      <c r="E68" s="53"/>
      <c r="F68" s="54"/>
      <c r="G68" s="34"/>
      <c r="H68" s="34"/>
      <c r="I68" s="61" t="s">
        <v>60</v>
      </c>
      <c r="J68" s="62" t="s">
        <v>54</v>
      </c>
      <c r="K68" s="63">
        <v>0</v>
      </c>
      <c r="L68" s="34"/>
      <c r="M68" s="34"/>
      <c r="N68" s="34"/>
      <c r="O68" s="34"/>
      <c r="P68" s="35"/>
    </row>
    <row r="69" spans="1:19" x14ac:dyDescent="0.2">
      <c r="B69" s="51"/>
      <c r="C69" s="92"/>
      <c r="F69" s="2"/>
      <c r="O69"/>
      <c r="P69" s="39"/>
    </row>
    <row r="70" spans="1:19" s="31" customFormat="1" ht="45.75" customHeight="1" x14ac:dyDescent="0.3">
      <c r="A70" s="30" t="s">
        <v>2</v>
      </c>
      <c r="B70" s="30" t="s">
        <v>6</v>
      </c>
      <c r="C70" s="93" t="s">
        <v>7</v>
      </c>
      <c r="D70" s="30" t="s">
        <v>46</v>
      </c>
      <c r="E70" s="30" t="s">
        <v>47</v>
      </c>
      <c r="F70" s="30" t="s">
        <v>8</v>
      </c>
      <c r="G70" s="32" t="s">
        <v>9</v>
      </c>
      <c r="H70" s="33"/>
      <c r="I70" s="30" t="s">
        <v>38</v>
      </c>
      <c r="J70" s="30" t="s">
        <v>39</v>
      </c>
      <c r="K70" s="30" t="s">
        <v>43</v>
      </c>
      <c r="L70" s="30" t="s">
        <v>40</v>
      </c>
      <c r="M70" s="30" t="s">
        <v>41</v>
      </c>
      <c r="N70" s="30" t="s">
        <v>45</v>
      </c>
      <c r="O70" s="30" t="s">
        <v>42</v>
      </c>
      <c r="P70" s="40" t="s">
        <v>44</v>
      </c>
      <c r="R70" s="8" t="s">
        <v>68</v>
      </c>
    </row>
    <row r="71" spans="1:19" x14ac:dyDescent="0.2">
      <c r="A71" s="46"/>
      <c r="B71" s="13"/>
      <c r="C71" s="94"/>
      <c r="D71" s="15">
        <f>S89</f>
        <v>3611.9788602941221</v>
      </c>
      <c r="E71" s="15">
        <f>S90</f>
        <v>263.94025735294082</v>
      </c>
      <c r="F71" s="17"/>
      <c r="G71" s="25"/>
      <c r="H71" s="34"/>
      <c r="I71" s="72"/>
      <c r="J71" s="72"/>
      <c r="K71" s="72"/>
      <c r="L71" s="72"/>
      <c r="M71" s="72"/>
      <c r="N71" s="72"/>
      <c r="O71" s="72"/>
      <c r="P71" s="73"/>
    </row>
    <row r="72" spans="1:19" x14ac:dyDescent="0.2">
      <c r="A72" s="46" t="s">
        <v>4</v>
      </c>
      <c r="B72" s="13">
        <v>1</v>
      </c>
      <c r="C72" s="78">
        <v>3200</v>
      </c>
      <c r="D72" s="15">
        <f t="shared" ref="D72:D91" si="9">alpha2*(C72/F72)+(1-alpha2)*(D71+E71)</f>
        <v>3875.9191176470631</v>
      </c>
      <c r="E72" s="15">
        <f t="shared" ref="E72:E91" si="10">beta2*(D72-D71)+(1-beta2)*E71</f>
        <v>263.94025735294082</v>
      </c>
      <c r="F72" s="17">
        <f>S96</f>
        <v>0.76153343952399966</v>
      </c>
      <c r="G72" s="25">
        <f>(D71+E71)*F72</f>
        <v>2951.6420169785938</v>
      </c>
      <c r="H72" s="34"/>
      <c r="I72" s="25">
        <f>G72-C72</f>
        <v>-248.3579830214062</v>
      </c>
      <c r="J72" s="25">
        <f>ABS(I72)</f>
        <v>248.3579830214062</v>
      </c>
      <c r="K72" s="25">
        <f>SUM($I$72:I72)</f>
        <v>-248.3579830214062</v>
      </c>
      <c r="L72" s="25">
        <f>SUMSQ($I$72:I72)/B72</f>
        <v>61681.68773046109</v>
      </c>
      <c r="M72" s="25">
        <f>SUM($J$72:J72)/B72</f>
        <v>248.3579830214062</v>
      </c>
      <c r="N72" s="25">
        <f>J72/C72*100</f>
        <v>7.7611869694189446</v>
      </c>
      <c r="O72" s="25">
        <f>AVERAGE($N$72:N72)</f>
        <v>7.7611869694189446</v>
      </c>
      <c r="P72" s="41">
        <f>SUM($I$72:I72)/M72</f>
        <v>-1</v>
      </c>
    </row>
    <row r="73" spans="1:19" x14ac:dyDescent="0.2">
      <c r="A73" s="46" t="s">
        <v>48</v>
      </c>
      <c r="B73" s="13">
        <v>2</v>
      </c>
      <c r="C73" s="78">
        <v>7658</v>
      </c>
      <c r="D73" s="15">
        <f t="shared" si="9"/>
        <v>4139.8593750000036</v>
      </c>
      <c r="E73" s="15">
        <f t="shared" si="10"/>
        <v>263.94025735294082</v>
      </c>
      <c r="F73" s="17">
        <f>S97</f>
        <v>1.89921436419794</v>
      </c>
      <c r="G73" s="25">
        <f t="shared" ref="G73:G91" si="11">(D72+E72)*F73</f>
        <v>7862.4803907595133</v>
      </c>
      <c r="H73" s="34"/>
      <c r="I73" s="25">
        <f t="shared" ref="I73:I91" si="12">G73-C73</f>
        <v>204.48039075951328</v>
      </c>
      <c r="J73" s="25">
        <f t="shared" ref="J73:J91" si="13">ABS(I73)</f>
        <v>204.48039075951328</v>
      </c>
      <c r="K73" s="25">
        <f>SUM($I$72:I73)</f>
        <v>-43.877592261892914</v>
      </c>
      <c r="L73" s="25">
        <f>SUMSQ($I$72:I73)/B73</f>
        <v>51746.95896781217</v>
      </c>
      <c r="M73" s="25">
        <f>SUM($J$72:J73)/B73</f>
        <v>226.41918689045974</v>
      </c>
      <c r="N73" s="25">
        <f t="shared" ref="N73:N91" si="14">J73/C73*100</f>
        <v>2.6701539665645506</v>
      </c>
      <c r="O73" s="25">
        <f>AVERAGE($N$72:N73)</f>
        <v>5.2156704679917478</v>
      </c>
      <c r="P73" s="41">
        <f>SUM($I$72:I73)/M73</f>
        <v>-0.19378919633308564</v>
      </c>
      <c r="R73" t="s">
        <v>10</v>
      </c>
    </row>
    <row r="74" spans="1:19" ht="13.5" thickBot="1" x14ac:dyDescent="0.25">
      <c r="A74" s="46" t="s">
        <v>5</v>
      </c>
      <c r="B74" s="13">
        <v>3</v>
      </c>
      <c r="C74" s="78">
        <v>4420</v>
      </c>
      <c r="D74" s="15">
        <f t="shared" si="9"/>
        <v>4403.7996323529442</v>
      </c>
      <c r="E74" s="15">
        <f t="shared" si="10"/>
        <v>263.94025735294082</v>
      </c>
      <c r="F74" s="17">
        <f>S98</f>
        <v>0.94804272605210582</v>
      </c>
      <c r="G74" s="25">
        <f t="shared" si="11"/>
        <v>4174.9902084431469</v>
      </c>
      <c r="H74" s="34"/>
      <c r="I74" s="25">
        <f t="shared" si="12"/>
        <v>-245.00979155685309</v>
      </c>
      <c r="J74" s="25">
        <f t="shared" si="13"/>
        <v>245.00979155685309</v>
      </c>
      <c r="K74" s="25">
        <f>SUM($I$72:I74)</f>
        <v>-288.887383818746</v>
      </c>
      <c r="L74" s="25">
        <f>SUMSQ($I$72:I74)/B74</f>
        <v>54507.905298118982</v>
      </c>
      <c r="M74" s="25">
        <f>SUM($J$72:J74)/B74</f>
        <v>232.61605511259086</v>
      </c>
      <c r="N74" s="25">
        <f t="shared" si="14"/>
        <v>5.5432079537749566</v>
      </c>
      <c r="O74" s="25">
        <f>AVERAGE($N$72:N74)</f>
        <v>5.3248496299194841</v>
      </c>
      <c r="P74" s="41">
        <f>SUM($I$72:I74)/M74</f>
        <v>-1.2419064697787894</v>
      </c>
    </row>
    <row r="75" spans="1:19" x14ac:dyDescent="0.2">
      <c r="A75" s="46" t="s">
        <v>3</v>
      </c>
      <c r="B75" s="13">
        <v>4</v>
      </c>
      <c r="C75" s="78">
        <v>2384</v>
      </c>
      <c r="D75" s="15">
        <f t="shared" si="9"/>
        <v>4667.7398897058847</v>
      </c>
      <c r="E75" s="15">
        <f t="shared" si="10"/>
        <v>263.94025735294082</v>
      </c>
      <c r="F75" s="17">
        <f>S99</f>
        <v>0.41469276531543453</v>
      </c>
      <c r="G75" s="25">
        <f t="shared" si="11"/>
        <v>1935.6779626352948</v>
      </c>
      <c r="H75" s="34"/>
      <c r="I75" s="25">
        <f t="shared" si="12"/>
        <v>-448.32203736470524</v>
      </c>
      <c r="J75" s="25">
        <f t="shared" si="13"/>
        <v>448.32203736470524</v>
      </c>
      <c r="K75" s="25">
        <f>SUM($I$72:I75)</f>
        <v>-737.20942118345124</v>
      </c>
      <c r="L75" s="25">
        <f>SUMSQ($I$72:I75)/B75</f>
        <v>91129.091270299279</v>
      </c>
      <c r="M75" s="25">
        <f>SUM($J$72:J75)/B75</f>
        <v>286.54255067561945</v>
      </c>
      <c r="N75" s="25">
        <f t="shared" si="14"/>
        <v>18.805454587445688</v>
      </c>
      <c r="O75" s="25">
        <f>AVERAGE($N$72:N75)</f>
        <v>8.695000869301035</v>
      </c>
      <c r="P75" s="41">
        <f>SUM($I$72:I75)/M75</f>
        <v>-2.5727746871982351</v>
      </c>
      <c r="R75" s="6" t="s">
        <v>11</v>
      </c>
      <c r="S75" s="6"/>
    </row>
    <row r="76" spans="1:19" x14ac:dyDescent="0.2">
      <c r="A76" s="46" t="s">
        <v>4</v>
      </c>
      <c r="B76" s="13">
        <v>5</v>
      </c>
      <c r="C76" s="78">
        <v>3654</v>
      </c>
      <c r="D76" s="15">
        <f t="shared" si="9"/>
        <v>4931.6801470588252</v>
      </c>
      <c r="E76" s="15">
        <f t="shared" si="10"/>
        <v>263.94025735294082</v>
      </c>
      <c r="F76" s="17">
        <f t="shared" ref="F76:F95" si="15">gamma2*(C72/D72)+(1-gamma2)*F72</f>
        <v>0.76153343952399966</v>
      </c>
      <c r="G76" s="25">
        <f t="shared" si="11"/>
        <v>3755.6393450219316</v>
      </c>
      <c r="H76" s="34"/>
      <c r="I76" s="25">
        <f t="shared" si="12"/>
        <v>101.6393450219316</v>
      </c>
      <c r="J76" s="25">
        <f t="shared" si="13"/>
        <v>101.6393450219316</v>
      </c>
      <c r="K76" s="25">
        <f>SUM($I$72:I76)</f>
        <v>-635.57007616151964</v>
      </c>
      <c r="L76" s="25">
        <f>SUMSQ($I$72:I76)/B76</f>
        <v>74969.384307536879</v>
      </c>
      <c r="M76" s="25">
        <f>SUM($J$72:J76)/B76</f>
        <v>249.56190954488187</v>
      </c>
      <c r="N76" s="25">
        <f t="shared" si="14"/>
        <v>2.7815912704414778</v>
      </c>
      <c r="O76" s="25">
        <f>AVERAGE($N$72:N76)</f>
        <v>7.5123189495291225</v>
      </c>
      <c r="P76" s="41">
        <f>SUM($I$72:I76)/M76</f>
        <v>-2.5467431200562163</v>
      </c>
      <c r="R76" s="3" t="s">
        <v>12</v>
      </c>
      <c r="S76" s="3">
        <v>0.93104861399932304</v>
      </c>
    </row>
    <row r="77" spans="1:19" x14ac:dyDescent="0.2">
      <c r="A77" s="46" t="s">
        <v>48</v>
      </c>
      <c r="B77" s="13">
        <v>6</v>
      </c>
      <c r="C77" s="78">
        <v>8680</v>
      </c>
      <c r="D77" s="15">
        <f t="shared" si="9"/>
        <v>5195.6204044117658</v>
      </c>
      <c r="E77" s="15">
        <f t="shared" si="10"/>
        <v>263.94025735294082</v>
      </c>
      <c r="F77" s="17">
        <f t="shared" si="15"/>
        <v>1.89921436419794</v>
      </c>
      <c r="G77" s="25">
        <f t="shared" si="11"/>
        <v>9867.5969029787357</v>
      </c>
      <c r="H77" s="34"/>
      <c r="I77" s="25">
        <f t="shared" si="12"/>
        <v>1187.5969029787357</v>
      </c>
      <c r="J77" s="25">
        <f t="shared" si="13"/>
        <v>1187.5969029787357</v>
      </c>
      <c r="K77" s="25">
        <f>SUM($I$72:I77)</f>
        <v>552.02682681721603</v>
      </c>
      <c r="L77" s="25">
        <f>SUMSQ($I$72:I77)/B77</f>
        <v>297538.88758372818</v>
      </c>
      <c r="M77" s="25">
        <f>SUM($J$72:J77)/B77</f>
        <v>405.90107511719089</v>
      </c>
      <c r="N77" s="25">
        <f t="shared" si="14"/>
        <v>13.681991969801102</v>
      </c>
      <c r="O77" s="25">
        <f>AVERAGE($N$72:N77)</f>
        <v>8.5405977862411202</v>
      </c>
      <c r="P77" s="41">
        <f>SUM($I$72:I77)/M77</f>
        <v>1.3600033620453851</v>
      </c>
      <c r="R77" s="3" t="s">
        <v>13</v>
      </c>
      <c r="S77" s="3">
        <v>0.86685152163006041</v>
      </c>
    </row>
    <row r="78" spans="1:19" x14ac:dyDescent="0.2">
      <c r="A78" s="46" t="s">
        <v>5</v>
      </c>
      <c r="B78" s="13">
        <v>7</v>
      </c>
      <c r="C78" s="78">
        <v>5695</v>
      </c>
      <c r="D78" s="15">
        <f t="shared" si="9"/>
        <v>5459.5606617647063</v>
      </c>
      <c r="E78" s="15">
        <f t="shared" si="10"/>
        <v>263.94025735294082</v>
      </c>
      <c r="F78" s="17">
        <f t="shared" si="15"/>
        <v>0.94804272605210582</v>
      </c>
      <c r="G78" s="25">
        <f t="shared" si="11"/>
        <v>5175.8967728262514</v>
      </c>
      <c r="H78" s="34"/>
      <c r="I78" s="25">
        <f t="shared" si="12"/>
        <v>-519.10322717374856</v>
      </c>
      <c r="J78" s="25">
        <f t="shared" si="13"/>
        <v>519.10322717374856</v>
      </c>
      <c r="K78" s="25">
        <f>SUM($I$72:I78)</f>
        <v>32.923599643467469</v>
      </c>
      <c r="L78" s="25">
        <f>SUMSQ($I$72:I78)/B78</f>
        <v>293528.7837092242</v>
      </c>
      <c r="M78" s="25">
        <f>SUM($J$72:J78)/B78</f>
        <v>422.07281112527056</v>
      </c>
      <c r="N78" s="25">
        <f t="shared" si="14"/>
        <v>9.1150698362379039</v>
      </c>
      <c r="O78" s="25">
        <f>AVERAGE($N$72:N78)</f>
        <v>8.6226652219549464</v>
      </c>
      <c r="P78" s="41">
        <f>SUM($I$72:I78)/M78</f>
        <v>7.8004549868282785E-2</v>
      </c>
      <c r="R78" s="3" t="s">
        <v>14</v>
      </c>
      <c r="S78" s="3">
        <v>0.85734091603220752</v>
      </c>
    </row>
    <row r="79" spans="1:19" x14ac:dyDescent="0.2">
      <c r="A79" s="46" t="s">
        <v>3</v>
      </c>
      <c r="B79" s="13">
        <v>8</v>
      </c>
      <c r="C79" s="78">
        <v>1953</v>
      </c>
      <c r="D79" s="15">
        <f t="shared" si="9"/>
        <v>5723.5009191176468</v>
      </c>
      <c r="E79" s="15">
        <f t="shared" si="10"/>
        <v>263.94025735294082</v>
      </c>
      <c r="F79" s="17">
        <f t="shared" si="15"/>
        <v>0.41469276531543453</v>
      </c>
      <c r="G79" s="25">
        <f t="shared" si="11"/>
        <v>2373.4944234343284</v>
      </c>
      <c r="H79" s="34"/>
      <c r="I79" s="25">
        <f t="shared" si="12"/>
        <v>420.49442343432838</v>
      </c>
      <c r="J79" s="25">
        <f t="shared" si="13"/>
        <v>420.49442343432838</v>
      </c>
      <c r="K79" s="25">
        <f>SUM($I$72:I79)</f>
        <v>453.41802307779585</v>
      </c>
      <c r="L79" s="25">
        <f>SUMSQ($I$72:I79)/B79</f>
        <v>278939.63076299219</v>
      </c>
      <c r="M79" s="25">
        <f>SUM($J$72:J79)/B79</f>
        <v>421.87551266390278</v>
      </c>
      <c r="N79" s="25">
        <f t="shared" si="14"/>
        <v>21.530692444154038</v>
      </c>
      <c r="O79" s="25">
        <f>AVERAGE($N$72:N79)</f>
        <v>10.236168624729833</v>
      </c>
      <c r="P79" s="41">
        <f>SUM($I$72:I79)/M79</f>
        <v>1.0747673412346692</v>
      </c>
      <c r="R79" s="3" t="s">
        <v>15</v>
      </c>
      <c r="S79" s="3">
        <v>509.77299172652909</v>
      </c>
    </row>
    <row r="80" spans="1:19" ht="13.5" thickBot="1" x14ac:dyDescent="0.25">
      <c r="A80" s="46" t="s">
        <v>4</v>
      </c>
      <c r="B80" s="13">
        <v>9</v>
      </c>
      <c r="C80" s="78">
        <v>4742</v>
      </c>
      <c r="D80" s="15">
        <f t="shared" si="9"/>
        <v>5987.4411764705874</v>
      </c>
      <c r="E80" s="15">
        <f t="shared" si="10"/>
        <v>263.94025735294082</v>
      </c>
      <c r="F80" s="17">
        <f t="shared" si="15"/>
        <v>0.76153343952399966</v>
      </c>
      <c r="G80" s="25">
        <f t="shared" si="11"/>
        <v>4559.636673065269</v>
      </c>
      <c r="H80" s="34"/>
      <c r="I80" s="25">
        <f t="shared" si="12"/>
        <v>-182.36332693473105</v>
      </c>
      <c r="J80" s="25">
        <f t="shared" si="13"/>
        <v>182.36332693473105</v>
      </c>
      <c r="K80" s="25">
        <f>SUM($I$72:I80)</f>
        <v>271.0546961430648</v>
      </c>
      <c r="L80" s="25">
        <f>SUMSQ($I$72:I80)/B80</f>
        <v>251641.49212384902</v>
      </c>
      <c r="M80" s="25">
        <f>SUM($J$72:J80)/B80</f>
        <v>395.2630475828837</v>
      </c>
      <c r="N80" s="25">
        <f t="shared" si="14"/>
        <v>3.8457049121621898</v>
      </c>
      <c r="O80" s="25">
        <f>AVERAGE($N$72:N80)</f>
        <v>9.5261171011112058</v>
      </c>
      <c r="P80" s="41">
        <f>SUM($I$72:I80)/M80</f>
        <v>0.68575774487552288</v>
      </c>
      <c r="R80" s="4" t="s">
        <v>16</v>
      </c>
      <c r="S80" s="4">
        <v>16</v>
      </c>
    </row>
    <row r="81" spans="1:26" x14ac:dyDescent="0.2">
      <c r="A81" s="46" t="s">
        <v>48</v>
      </c>
      <c r="B81" s="13">
        <v>10</v>
      </c>
      <c r="C81" s="78">
        <v>13673</v>
      </c>
      <c r="D81" s="15">
        <f t="shared" si="9"/>
        <v>6251.3814338235279</v>
      </c>
      <c r="E81" s="15">
        <f t="shared" si="10"/>
        <v>263.94025735294082</v>
      </c>
      <c r="F81" s="17">
        <f t="shared" si="15"/>
        <v>1.89921436419794</v>
      </c>
      <c r="G81" s="25">
        <f t="shared" si="11"/>
        <v>11872.713415197957</v>
      </c>
      <c r="H81" s="34"/>
      <c r="I81" s="25">
        <f t="shared" si="12"/>
        <v>-1800.2865848020429</v>
      </c>
      <c r="J81" s="25">
        <f t="shared" si="13"/>
        <v>1800.2865848020429</v>
      </c>
      <c r="K81" s="25">
        <f>SUM($I$72:I81)</f>
        <v>-1529.2318886589781</v>
      </c>
      <c r="L81" s="25">
        <f>SUMSQ($I$72:I81)/B81</f>
        <v>550580.52165328444</v>
      </c>
      <c r="M81" s="25">
        <f>SUM($J$72:J81)/B81</f>
        <v>535.76540130479964</v>
      </c>
      <c r="N81" s="25">
        <f t="shared" si="14"/>
        <v>13.166727015300539</v>
      </c>
      <c r="O81" s="25">
        <f>AVERAGE($N$72:N81)</f>
        <v>9.8901780925301388</v>
      </c>
      <c r="P81" s="41">
        <f>SUM($I$72:I81)/M81</f>
        <v>-2.8542938475211286</v>
      </c>
    </row>
    <row r="82" spans="1:26" ht="13.5" thickBot="1" x14ac:dyDescent="0.25">
      <c r="A82" s="46" t="s">
        <v>5</v>
      </c>
      <c r="B82" s="13">
        <v>11</v>
      </c>
      <c r="C82" s="78">
        <v>6640</v>
      </c>
      <c r="D82" s="15">
        <f t="shared" si="9"/>
        <v>6515.3216911764684</v>
      </c>
      <c r="E82" s="15">
        <f t="shared" si="10"/>
        <v>263.94025735294082</v>
      </c>
      <c r="F82" s="17">
        <f t="shared" si="15"/>
        <v>0.94804272605210582</v>
      </c>
      <c r="G82" s="25">
        <f t="shared" si="11"/>
        <v>6176.803337209355</v>
      </c>
      <c r="H82" s="34"/>
      <c r="I82" s="25">
        <f t="shared" si="12"/>
        <v>-463.19666279064495</v>
      </c>
      <c r="J82" s="25">
        <f t="shared" si="13"/>
        <v>463.19666279064495</v>
      </c>
      <c r="K82" s="25">
        <f>SUM($I$72:I82)</f>
        <v>-1992.428551449623</v>
      </c>
      <c r="L82" s="25">
        <f>SUMSQ($I$72:I82)/B82</f>
        <v>520032.39681393042</v>
      </c>
      <c r="M82" s="25">
        <f>SUM($J$72:J82)/B82</f>
        <v>529.16824325805828</v>
      </c>
      <c r="N82" s="25">
        <f t="shared" si="14"/>
        <v>6.9758533552807975</v>
      </c>
      <c r="O82" s="25">
        <f>AVERAGE($N$72:N82)</f>
        <v>9.625239480052926</v>
      </c>
      <c r="P82" s="41">
        <f>SUM($I$72:I82)/M82</f>
        <v>-3.7652080918203925</v>
      </c>
      <c r="R82" t="s">
        <v>17</v>
      </c>
    </row>
    <row r="83" spans="1:26" x14ac:dyDescent="0.2">
      <c r="A83" s="46" t="s">
        <v>3</v>
      </c>
      <c r="B83" s="13">
        <v>12</v>
      </c>
      <c r="C83" s="78">
        <v>2737</v>
      </c>
      <c r="D83" s="15">
        <f t="shared" si="9"/>
        <v>6779.261948529409</v>
      </c>
      <c r="E83" s="15">
        <f t="shared" si="10"/>
        <v>263.94025735294082</v>
      </c>
      <c r="F83" s="17">
        <f t="shared" si="15"/>
        <v>0.41469276531543453</v>
      </c>
      <c r="G83" s="25">
        <f t="shared" si="11"/>
        <v>2811.3108842333618</v>
      </c>
      <c r="H83" s="34"/>
      <c r="I83" s="25">
        <f t="shared" si="12"/>
        <v>74.310884233361776</v>
      </c>
      <c r="J83" s="25">
        <f t="shared" si="13"/>
        <v>74.310884233361776</v>
      </c>
      <c r="K83" s="25">
        <f>SUM($I$72:I83)</f>
        <v>-1918.1176672162612</v>
      </c>
      <c r="L83" s="25">
        <f>SUMSQ($I$72:I83)/B83</f>
        <v>477156.53937239823</v>
      </c>
      <c r="M83" s="25">
        <f>SUM($J$72:J83)/B83</f>
        <v>491.26346333933361</v>
      </c>
      <c r="N83" s="25">
        <f t="shared" si="14"/>
        <v>2.7150487480219869</v>
      </c>
      <c r="O83" s="25">
        <f>AVERAGE($N$72:N83)</f>
        <v>9.0493902523836809</v>
      </c>
      <c r="P83" s="41">
        <f>SUM($I$72:I83)/M83</f>
        <v>-3.90445821917627</v>
      </c>
      <c r="R83" s="5"/>
      <c r="S83" s="5" t="s">
        <v>21</v>
      </c>
      <c r="T83" s="5" t="s">
        <v>22</v>
      </c>
      <c r="U83" s="5" t="s">
        <v>23</v>
      </c>
      <c r="V83" s="5" t="s">
        <v>24</v>
      </c>
      <c r="W83" s="5" t="s">
        <v>25</v>
      </c>
    </row>
    <row r="84" spans="1:26" x14ac:dyDescent="0.2">
      <c r="A84" s="46" t="s">
        <v>4</v>
      </c>
      <c r="B84" s="13">
        <v>13</v>
      </c>
      <c r="C84" s="78">
        <v>3486</v>
      </c>
      <c r="D84" s="15">
        <f t="shared" si="9"/>
        <v>7043.2022058823495</v>
      </c>
      <c r="E84" s="15">
        <f t="shared" si="10"/>
        <v>263.94025735294082</v>
      </c>
      <c r="F84" s="17">
        <f t="shared" si="15"/>
        <v>0.76153343952399966</v>
      </c>
      <c r="G84" s="25">
        <f t="shared" si="11"/>
        <v>5363.6340011086068</v>
      </c>
      <c r="H84" s="34"/>
      <c r="I84" s="25">
        <f t="shared" si="12"/>
        <v>1877.6340011086068</v>
      </c>
      <c r="J84" s="25">
        <f t="shared" si="13"/>
        <v>1877.6340011086068</v>
      </c>
      <c r="K84" s="25">
        <f>SUM($I$72:I84)</f>
        <v>-40.483666107654471</v>
      </c>
      <c r="L84" s="25">
        <f>SUMSQ($I$72:I84)/B84</f>
        <v>711645.22419906885</v>
      </c>
      <c r="M84" s="25">
        <f>SUM($J$72:J84)/B84</f>
        <v>597.9073508600469</v>
      </c>
      <c r="N84" s="25">
        <f t="shared" si="14"/>
        <v>53.862134283092566</v>
      </c>
      <c r="O84" s="25">
        <f>AVERAGE($N$72:N84)</f>
        <v>12.496524408592055</v>
      </c>
      <c r="P84" s="41">
        <f>SUM($I$72:I84)/M84</f>
        <v>-6.7708928564637338E-2</v>
      </c>
      <c r="R84" s="3" t="s">
        <v>18</v>
      </c>
      <c r="S84" s="3">
        <v>1</v>
      </c>
      <c r="T84" s="3">
        <v>23685916.213522516</v>
      </c>
      <c r="U84" s="3">
        <v>23685916.213522516</v>
      </c>
      <c r="V84" s="3">
        <v>91.145775388453288</v>
      </c>
      <c r="W84" s="3">
        <v>1.653571094928248E-7</v>
      </c>
    </row>
    <row r="85" spans="1:26" x14ac:dyDescent="0.2">
      <c r="A85" s="46" t="s">
        <v>48</v>
      </c>
      <c r="B85" s="13">
        <v>14</v>
      </c>
      <c r="C85" s="94">
        <v>13186</v>
      </c>
      <c r="D85" s="15">
        <f t="shared" si="9"/>
        <v>7307.1424632352901</v>
      </c>
      <c r="E85" s="15">
        <f t="shared" si="10"/>
        <v>263.94025735294082</v>
      </c>
      <c r="F85" s="17">
        <f t="shared" si="15"/>
        <v>1.89921436419794</v>
      </c>
      <c r="G85" s="25">
        <f t="shared" si="11"/>
        <v>13877.82992741718</v>
      </c>
      <c r="H85" s="34"/>
      <c r="I85" s="25">
        <f t="shared" si="12"/>
        <v>691.82992741718044</v>
      </c>
      <c r="J85" s="25">
        <f t="shared" si="13"/>
        <v>691.82992741718044</v>
      </c>
      <c r="K85" s="25">
        <f>SUM($I$72:I85)</f>
        <v>651.34626130952597</v>
      </c>
      <c r="L85" s="25">
        <f>SUMSQ($I$72:I85)/B85</f>
        <v>695001.18307556829</v>
      </c>
      <c r="M85" s="25">
        <f>SUM($J$72:J85)/B85</f>
        <v>604.61610632841359</v>
      </c>
      <c r="N85" s="25">
        <f t="shared" si="14"/>
        <v>5.2467004961108792</v>
      </c>
      <c r="O85" s="25">
        <f>AVERAGE($N$72:N85)</f>
        <v>11.978679843414829</v>
      </c>
      <c r="P85" s="41">
        <f>SUM($I$72:I85)/M85</f>
        <v>1.0772889681435804</v>
      </c>
      <c r="R85" s="3" t="s">
        <v>19</v>
      </c>
      <c r="S85" s="3">
        <v>14</v>
      </c>
      <c r="T85" s="3">
        <v>3638159.0433134218</v>
      </c>
      <c r="U85" s="3">
        <v>259868.50309381585</v>
      </c>
      <c r="V85" s="3"/>
      <c r="W85" s="3"/>
    </row>
    <row r="86" spans="1:26" ht="13.5" thickBot="1" x14ac:dyDescent="0.25">
      <c r="A86" s="46" t="s">
        <v>5</v>
      </c>
      <c r="B86" s="13">
        <v>15</v>
      </c>
      <c r="C86" s="94">
        <v>5448</v>
      </c>
      <c r="D86" s="15">
        <f t="shared" si="9"/>
        <v>7571.0827205882306</v>
      </c>
      <c r="E86" s="15">
        <f t="shared" si="10"/>
        <v>263.94025735294082</v>
      </c>
      <c r="F86" s="17">
        <f t="shared" si="15"/>
        <v>0.94804272605210582</v>
      </c>
      <c r="G86" s="25">
        <f t="shared" si="11"/>
        <v>7177.7099015924596</v>
      </c>
      <c r="H86" s="34"/>
      <c r="I86" s="25">
        <f t="shared" si="12"/>
        <v>1729.7099015924596</v>
      </c>
      <c r="J86" s="25">
        <f t="shared" si="13"/>
        <v>1729.7099015924596</v>
      </c>
      <c r="K86" s="25">
        <f>SUM($I$72:I86)</f>
        <v>2381.0561629019858</v>
      </c>
      <c r="L86" s="25">
        <f>SUMSQ($I$72:I86)/B86</f>
        <v>848127.5271149968</v>
      </c>
      <c r="M86" s="25">
        <f>SUM($J$72:J86)/B86</f>
        <v>679.62235934601665</v>
      </c>
      <c r="N86" s="25">
        <f t="shared" si="14"/>
        <v>31.749447532901243</v>
      </c>
      <c r="O86" s="25">
        <f>AVERAGE($N$72:N86)</f>
        <v>13.296731022713924</v>
      </c>
      <c r="P86" s="41">
        <f>SUM($I$72:I86)/M86</f>
        <v>3.5034988625053711</v>
      </c>
      <c r="R86" s="4" t="s">
        <v>0</v>
      </c>
      <c r="S86" s="4">
        <v>15</v>
      </c>
      <c r="T86" s="4">
        <v>27324075.256835937</v>
      </c>
      <c r="U86" s="4"/>
      <c r="V86" s="4"/>
      <c r="W86" s="4"/>
    </row>
    <row r="87" spans="1:26" ht="13.5" thickBot="1" x14ac:dyDescent="0.25">
      <c r="A87" s="46" t="s">
        <v>3</v>
      </c>
      <c r="B87" s="13">
        <v>16</v>
      </c>
      <c r="C87" s="94">
        <v>3485</v>
      </c>
      <c r="D87" s="15">
        <f t="shared" si="9"/>
        <v>7835.0229779411711</v>
      </c>
      <c r="E87" s="15">
        <f t="shared" si="10"/>
        <v>263.94025735294082</v>
      </c>
      <c r="F87" s="17">
        <f t="shared" si="15"/>
        <v>0.41469276531543453</v>
      </c>
      <c r="G87" s="25">
        <f t="shared" si="11"/>
        <v>3249.1273450323952</v>
      </c>
      <c r="H87" s="34"/>
      <c r="I87" s="25">
        <f t="shared" si="12"/>
        <v>-235.87265496760483</v>
      </c>
      <c r="J87" s="25">
        <f t="shared" si="13"/>
        <v>235.87265496760483</v>
      </c>
      <c r="K87" s="25">
        <f>SUM($I$72:I87)</f>
        <v>2145.1835079343809</v>
      </c>
      <c r="L87" s="25">
        <f>SUMSQ($I$72:I87)/B87</f>
        <v>798596.80100540118</v>
      </c>
      <c r="M87" s="25">
        <f>SUM($J$72:J87)/B87</f>
        <v>651.88800282236593</v>
      </c>
      <c r="N87" s="25">
        <f t="shared" si="14"/>
        <v>6.7682253936185033</v>
      </c>
      <c r="O87" s="25">
        <f>AVERAGE($N$72:N87)</f>
        <v>12.888699420895462</v>
      </c>
      <c r="P87" s="41">
        <f>SUM($I$72:I87)/M87</f>
        <v>3.2907240180011805</v>
      </c>
    </row>
    <row r="88" spans="1:26" x14ac:dyDescent="0.2">
      <c r="A88" s="46" t="s">
        <v>4</v>
      </c>
      <c r="B88" s="13">
        <v>17</v>
      </c>
      <c r="C88" s="94">
        <v>7728</v>
      </c>
      <c r="D88" s="15">
        <f t="shared" si="9"/>
        <v>8098.9632352941117</v>
      </c>
      <c r="E88" s="15">
        <f t="shared" si="10"/>
        <v>263.94025735294082</v>
      </c>
      <c r="F88" s="17">
        <f t="shared" si="15"/>
        <v>0.76153343952399966</v>
      </c>
      <c r="G88" s="25">
        <f t="shared" si="11"/>
        <v>6167.6313291519446</v>
      </c>
      <c r="H88" s="34"/>
      <c r="I88" s="25">
        <f t="shared" si="12"/>
        <v>-1560.3686708480554</v>
      </c>
      <c r="J88" s="25">
        <f t="shared" si="13"/>
        <v>1560.3686708480554</v>
      </c>
      <c r="K88" s="25">
        <f>SUM($I$72:I88)</f>
        <v>584.8148370863255</v>
      </c>
      <c r="L88" s="25">
        <f>SUMSQ($I$72:I88)/B88</f>
        <v>894841.12970885565</v>
      </c>
      <c r="M88" s="25">
        <f>SUM($J$72:J88)/B88</f>
        <v>705.32804211799476</v>
      </c>
      <c r="N88" s="25">
        <f t="shared" si="14"/>
        <v>20.191105989234671</v>
      </c>
      <c r="O88" s="25">
        <f>AVERAGE($N$72:N88)</f>
        <v>13.318252748444827</v>
      </c>
      <c r="P88" s="41">
        <f>SUM($I$72:I88)/M88</f>
        <v>0.82913878672711483</v>
      </c>
      <c r="R88" s="5"/>
      <c r="S88" s="5" t="s">
        <v>26</v>
      </c>
      <c r="T88" s="5" t="s">
        <v>15</v>
      </c>
      <c r="U88" s="5" t="s">
        <v>27</v>
      </c>
      <c r="V88" s="5" t="s">
        <v>28</v>
      </c>
      <c r="W88" s="5" t="s">
        <v>29</v>
      </c>
      <c r="X88" s="5" t="s">
        <v>30</v>
      </c>
      <c r="Y88" s="5" t="s">
        <v>31</v>
      </c>
      <c r="Z88" s="5" t="s">
        <v>32</v>
      </c>
    </row>
    <row r="89" spans="1:26" x14ac:dyDescent="0.2">
      <c r="A89" s="46" t="s">
        <v>48</v>
      </c>
      <c r="B89" s="13">
        <v>18</v>
      </c>
      <c r="C89" s="94">
        <v>16591</v>
      </c>
      <c r="D89" s="15">
        <f t="shared" si="9"/>
        <v>8362.9034926470522</v>
      </c>
      <c r="E89" s="15">
        <f t="shared" si="10"/>
        <v>263.94025735294082</v>
      </c>
      <c r="F89" s="17">
        <f t="shared" si="15"/>
        <v>1.89921436419794</v>
      </c>
      <c r="G89" s="25">
        <f t="shared" si="11"/>
        <v>15882.946439636404</v>
      </c>
      <c r="H89" s="34"/>
      <c r="I89" s="25">
        <f t="shared" si="12"/>
        <v>-708.05356036359626</v>
      </c>
      <c r="J89" s="25">
        <f t="shared" si="13"/>
        <v>708.05356036359626</v>
      </c>
      <c r="K89" s="25">
        <f>SUM($I$72:I89)</f>
        <v>-123.23872327727076</v>
      </c>
      <c r="L89" s="25">
        <f>SUMSQ($I$72:I89)/B89</f>
        <v>872979.94718856178</v>
      </c>
      <c r="M89" s="25">
        <f>SUM($J$72:J89)/B89</f>
        <v>705.47945979830592</v>
      </c>
      <c r="N89" s="25">
        <f t="shared" si="14"/>
        <v>4.2676967052232913</v>
      </c>
      <c r="O89" s="25">
        <f>AVERAGE($N$72:N89)</f>
        <v>12.815444079376965</v>
      </c>
      <c r="P89" s="41">
        <f>SUM($I$72:I89)/M89</f>
        <v>-0.17468789709696761</v>
      </c>
      <c r="R89" s="3" t="s">
        <v>20</v>
      </c>
      <c r="S89" s="83">
        <v>3611.9788602941221</v>
      </c>
      <c r="T89" s="3">
        <v>317.02991210162969</v>
      </c>
      <c r="U89" s="3">
        <v>11.393180019985738</v>
      </c>
      <c r="V89" s="3">
        <v>1.8153931026474335E-8</v>
      </c>
      <c r="W89" s="3">
        <v>2932.0167203497354</v>
      </c>
      <c r="X89" s="3">
        <v>4291.9410002385093</v>
      </c>
      <c r="Y89" s="3">
        <v>2932.0167203497354</v>
      </c>
      <c r="Z89" s="3">
        <v>4291.9410002385093</v>
      </c>
    </row>
    <row r="90" spans="1:26" ht="13.5" thickBot="1" x14ac:dyDescent="0.25">
      <c r="A90" s="46" t="s">
        <v>5</v>
      </c>
      <c r="B90" s="13">
        <v>19</v>
      </c>
      <c r="C90" s="94">
        <v>8236</v>
      </c>
      <c r="D90" s="15">
        <f t="shared" si="9"/>
        <v>8626.8437499999927</v>
      </c>
      <c r="E90" s="15">
        <f t="shared" si="10"/>
        <v>263.94025735294082</v>
      </c>
      <c r="F90" s="17">
        <f t="shared" si="15"/>
        <v>0.94804272605210582</v>
      </c>
      <c r="G90" s="25">
        <f t="shared" si="11"/>
        <v>8178.6164659755641</v>
      </c>
      <c r="H90" s="34"/>
      <c r="I90" s="25">
        <f t="shared" si="12"/>
        <v>-57.383534024435903</v>
      </c>
      <c r="J90" s="25">
        <f t="shared" si="13"/>
        <v>57.383534024435903</v>
      </c>
      <c r="K90" s="25">
        <f>SUM($I$72:I90)</f>
        <v>-180.62225730170667</v>
      </c>
      <c r="L90" s="25">
        <f>SUMSQ($I$72:I90)/B90</f>
        <v>827206.94312480243</v>
      </c>
      <c r="M90" s="25">
        <f>SUM($J$72:J90)/B90</f>
        <v>671.36914791547065</v>
      </c>
      <c r="N90" s="25">
        <f t="shared" si="14"/>
        <v>0.69674033541082936</v>
      </c>
      <c r="O90" s="25">
        <f>AVERAGE($N$72:N90)</f>
        <v>12.177617566536641</v>
      </c>
      <c r="P90" s="41">
        <f>SUM($I$72:I90)/M90</f>
        <v>-0.26903568307021469</v>
      </c>
      <c r="R90" s="4" t="s">
        <v>33</v>
      </c>
      <c r="S90" s="84">
        <v>263.94025735294082</v>
      </c>
      <c r="T90" s="4">
        <v>27.646322119705495</v>
      </c>
      <c r="U90" s="4">
        <v>9.5470296631178968</v>
      </c>
      <c r="V90" s="4">
        <v>1.6535710949282776E-7</v>
      </c>
      <c r="W90" s="4">
        <v>204.64474095989902</v>
      </c>
      <c r="X90" s="4">
        <v>323.23577374598261</v>
      </c>
      <c r="Y90" s="4">
        <v>204.64474095989902</v>
      </c>
      <c r="Z90" s="4">
        <v>323.23577374598261</v>
      </c>
    </row>
    <row r="91" spans="1:26" ht="13.5" thickBot="1" x14ac:dyDescent="0.25">
      <c r="A91" s="47" t="s">
        <v>3</v>
      </c>
      <c r="B91" s="14">
        <v>20</v>
      </c>
      <c r="C91" s="95">
        <v>3316</v>
      </c>
      <c r="D91" s="16">
        <f t="shared" si="9"/>
        <v>8890.7840073529333</v>
      </c>
      <c r="E91" s="16">
        <f t="shared" si="10"/>
        <v>263.94025735294082</v>
      </c>
      <c r="F91" s="17">
        <f t="shared" si="15"/>
        <v>0.41469276531543453</v>
      </c>
      <c r="G91" s="25">
        <f t="shared" si="11"/>
        <v>3686.9438058314286</v>
      </c>
      <c r="H91" s="34"/>
      <c r="I91" s="26">
        <f t="shared" si="12"/>
        <v>370.94380583142856</v>
      </c>
      <c r="J91" s="26">
        <f t="shared" si="13"/>
        <v>370.94380583142856</v>
      </c>
      <c r="K91" s="26">
        <f>SUM($I$72:I91)</f>
        <v>190.32154852972189</v>
      </c>
      <c r="L91" s="26">
        <f>SUMSQ($I$72:I91)/B91</f>
        <v>792726.56132279744</v>
      </c>
      <c r="M91" s="26">
        <f>SUM($J$72:J91)/B91</f>
        <v>656.34788081126851</v>
      </c>
      <c r="N91" s="26">
        <f t="shared" si="14"/>
        <v>11.186483891176977</v>
      </c>
      <c r="O91" s="26">
        <f>AVERAGE($N$72:N91)</f>
        <v>12.128060882768658</v>
      </c>
      <c r="P91" s="42">
        <f>SUM($I$72:I91)/M91</f>
        <v>0.28997053863338135</v>
      </c>
    </row>
    <row r="92" spans="1:26" ht="13.5" thickBot="1" x14ac:dyDescent="0.25">
      <c r="A92" s="45" t="s">
        <v>4</v>
      </c>
      <c r="B92" s="58">
        <v>21</v>
      </c>
      <c r="C92" s="52"/>
      <c r="D92" s="53"/>
      <c r="E92" s="53"/>
      <c r="F92" s="64">
        <f t="shared" si="15"/>
        <v>0.76153343952399966</v>
      </c>
      <c r="G92" s="69">
        <f>($D$49+$E$49*(B92-20))*F92</f>
        <v>5638.6733060290626</v>
      </c>
      <c r="H92" s="34"/>
      <c r="I92" s="34"/>
      <c r="J92" s="34"/>
      <c r="K92" s="34"/>
      <c r="L92" s="76" t="s">
        <v>62</v>
      </c>
      <c r="M92" s="77">
        <f>M91*1.25</f>
        <v>820.43485101408567</v>
      </c>
      <c r="N92" s="34"/>
      <c r="O92" s="34"/>
      <c r="P92" s="35"/>
    </row>
    <row r="93" spans="1:26" x14ac:dyDescent="0.2">
      <c r="A93" s="46" t="s">
        <v>48</v>
      </c>
      <c r="B93" s="13">
        <v>22</v>
      </c>
      <c r="C93" s="52"/>
      <c r="D93" s="53"/>
      <c r="E93" s="53"/>
      <c r="F93" s="65">
        <f t="shared" si="15"/>
        <v>1.89921436419794</v>
      </c>
      <c r="G93" s="70">
        <f t="shared" ref="G93:G98" si="16">($D$49+$E$49*(B93-20))*F93</f>
        <v>14501.023434557816</v>
      </c>
      <c r="H93" s="34"/>
      <c r="I93" s="34"/>
      <c r="J93" s="34"/>
      <c r="K93" s="34"/>
      <c r="L93" s="34"/>
      <c r="M93" s="34"/>
      <c r="N93" s="34"/>
      <c r="O93" s="34"/>
      <c r="P93" s="35"/>
    </row>
    <row r="94" spans="1:26" x14ac:dyDescent="0.2">
      <c r="A94" s="46" t="s">
        <v>5</v>
      </c>
      <c r="B94" s="13">
        <v>23</v>
      </c>
      <c r="C94" s="52"/>
      <c r="D94" s="53"/>
      <c r="E94" s="53"/>
      <c r="F94" s="65">
        <f t="shared" si="15"/>
        <v>0.94804272605210582</v>
      </c>
      <c r="G94" s="70">
        <f t="shared" si="16"/>
        <v>7457.4767606873256</v>
      </c>
      <c r="H94" s="34"/>
      <c r="I94" s="34"/>
      <c r="J94" s="34"/>
      <c r="K94" s="34"/>
      <c r="L94" s="34"/>
      <c r="M94" s="34"/>
      <c r="N94" s="34"/>
      <c r="O94" s="34"/>
      <c r="P94" s="35"/>
      <c r="R94" s="86" t="s">
        <v>35</v>
      </c>
      <c r="S94" s="10"/>
    </row>
    <row r="95" spans="1:26" x14ac:dyDescent="0.2">
      <c r="A95" s="46" t="s">
        <v>3</v>
      </c>
      <c r="B95" s="13">
        <v>24</v>
      </c>
      <c r="C95" s="52"/>
      <c r="D95" s="53"/>
      <c r="E95" s="53"/>
      <c r="F95" s="65">
        <f t="shared" si="15"/>
        <v>0.41469276531543453</v>
      </c>
      <c r="G95" s="70">
        <f t="shared" si="16"/>
        <v>3357.804459007245</v>
      </c>
      <c r="H95" s="34"/>
      <c r="I95" s="34"/>
      <c r="J95" s="34"/>
      <c r="K95" s="34"/>
      <c r="L95" s="34"/>
      <c r="M95" s="34"/>
      <c r="N95" s="34"/>
      <c r="O95" s="34"/>
      <c r="P95" s="35"/>
      <c r="R95" s="11" t="s">
        <v>2</v>
      </c>
      <c r="S95" s="10" t="s">
        <v>0</v>
      </c>
    </row>
    <row r="96" spans="1:26" x14ac:dyDescent="0.2">
      <c r="A96" s="46" t="s">
        <v>4</v>
      </c>
      <c r="B96" s="13">
        <v>25</v>
      </c>
      <c r="C96" s="52"/>
      <c r="D96" s="53"/>
      <c r="E96" s="53"/>
      <c r="F96" s="65">
        <f t="shared" ref="F96:F103" si="17">F92</f>
        <v>0.76153343952399966</v>
      </c>
      <c r="G96" s="70">
        <f t="shared" si="16"/>
        <v>6342.048177665718</v>
      </c>
      <c r="H96" s="34"/>
      <c r="I96" s="34"/>
      <c r="J96" s="34"/>
      <c r="K96" s="34"/>
      <c r="L96" s="34"/>
      <c r="M96" s="34"/>
      <c r="N96" s="34"/>
      <c r="O96" s="34"/>
      <c r="P96" s="35"/>
      <c r="R96" s="9" t="s">
        <v>4</v>
      </c>
      <c r="S96" s="20">
        <v>0.76153343952399966</v>
      </c>
    </row>
    <row r="97" spans="1:19" x14ac:dyDescent="0.2">
      <c r="A97" s="46" t="s">
        <v>48</v>
      </c>
      <c r="B97" s="13">
        <v>26</v>
      </c>
      <c r="C97" s="52"/>
      <c r="D97" s="53"/>
      <c r="E97" s="53"/>
      <c r="F97" s="65">
        <f t="shared" si="17"/>
        <v>1.89921436419794</v>
      </c>
      <c r="G97" s="70">
        <f t="shared" si="16"/>
        <v>16255.194151556407</v>
      </c>
      <c r="H97" s="34"/>
      <c r="I97" s="34"/>
      <c r="J97" s="34"/>
      <c r="K97" s="34"/>
      <c r="L97" s="34"/>
      <c r="M97" s="34"/>
      <c r="N97" s="34"/>
      <c r="O97" s="34"/>
      <c r="P97" s="35"/>
      <c r="R97" s="12" t="s">
        <v>48</v>
      </c>
      <c r="S97" s="21">
        <v>1.89921436419794</v>
      </c>
    </row>
    <row r="98" spans="1:19" x14ac:dyDescent="0.2">
      <c r="A98" s="46" t="s">
        <v>5</v>
      </c>
      <c r="B98" s="13">
        <v>27</v>
      </c>
      <c r="C98" s="52"/>
      <c r="D98" s="53"/>
      <c r="E98" s="53"/>
      <c r="F98" s="65">
        <f t="shared" si="17"/>
        <v>0.94804272605210582</v>
      </c>
      <c r="G98" s="70">
        <f t="shared" si="16"/>
        <v>8333.1171411803607</v>
      </c>
      <c r="H98" s="34"/>
      <c r="I98" s="34"/>
      <c r="J98" s="34"/>
      <c r="K98" s="34"/>
      <c r="L98" s="34"/>
      <c r="M98" s="34"/>
      <c r="N98" s="34"/>
      <c r="O98" s="34"/>
      <c r="P98" s="35"/>
      <c r="R98" s="12" t="s">
        <v>5</v>
      </c>
      <c r="S98" s="21">
        <v>0.94804272605210582</v>
      </c>
    </row>
    <row r="99" spans="1:19" x14ac:dyDescent="0.2">
      <c r="A99" s="46" t="s">
        <v>3</v>
      </c>
      <c r="B99" s="13">
        <v>28</v>
      </c>
      <c r="C99" s="52"/>
      <c r="D99" s="53"/>
      <c r="E99" s="53"/>
      <c r="F99" s="65">
        <f t="shared" si="17"/>
        <v>0.41469276531543453</v>
      </c>
      <c r="G99" s="70">
        <f>($D$49+$E$49*(B99-20))*F99</f>
        <v>3740.8269967367928</v>
      </c>
      <c r="H99" s="34"/>
      <c r="I99" s="34"/>
      <c r="J99" s="34"/>
      <c r="K99" s="34"/>
      <c r="L99" s="34"/>
      <c r="M99" s="34"/>
      <c r="N99" s="34"/>
      <c r="O99" s="34"/>
      <c r="P99" s="35"/>
      <c r="R99" s="19" t="s">
        <v>3</v>
      </c>
      <c r="S99" s="22">
        <v>0.41469276531543453</v>
      </c>
    </row>
    <row r="100" spans="1:19" x14ac:dyDescent="0.2">
      <c r="A100" s="46" t="s">
        <v>4</v>
      </c>
      <c r="B100" s="13">
        <v>29</v>
      </c>
      <c r="C100" s="52"/>
      <c r="D100" s="53"/>
      <c r="E100" s="53"/>
      <c r="F100" s="65">
        <f t="shared" si="17"/>
        <v>0.76153343952399966</v>
      </c>
      <c r="G100" s="70">
        <f>($D$49+$E$49*(B100-20))*F100</f>
        <v>7045.4230493023733</v>
      </c>
      <c r="H100" s="34"/>
      <c r="I100" s="34"/>
      <c r="J100" s="34"/>
      <c r="K100" s="34"/>
      <c r="L100" s="34"/>
      <c r="M100" s="34"/>
      <c r="N100" s="34"/>
      <c r="O100" s="34"/>
      <c r="P100" s="35"/>
    </row>
    <row r="101" spans="1:19" x14ac:dyDescent="0.2">
      <c r="A101" s="46" t="s">
        <v>48</v>
      </c>
      <c r="B101" s="13">
        <v>30</v>
      </c>
      <c r="C101" s="1"/>
      <c r="D101" s="1"/>
      <c r="E101" s="1"/>
      <c r="F101" s="65">
        <f t="shared" si="17"/>
        <v>1.89921436419794</v>
      </c>
      <c r="G101" s="70">
        <f>($D$49+$E$49*(B101-20))*F101</f>
        <v>18009.364868555</v>
      </c>
      <c r="H101" s="36"/>
      <c r="I101" s="36"/>
      <c r="J101" s="36"/>
      <c r="K101" s="36"/>
      <c r="L101" s="36"/>
      <c r="M101" s="36"/>
      <c r="N101" s="36"/>
      <c r="O101" s="36"/>
      <c r="P101" s="43"/>
      <c r="Q101" s="37"/>
    </row>
    <row r="102" spans="1:19" x14ac:dyDescent="0.2">
      <c r="A102" s="46" t="s">
        <v>5</v>
      </c>
      <c r="B102" s="13">
        <v>31</v>
      </c>
      <c r="C102" s="1"/>
      <c r="D102" s="1"/>
      <c r="E102" s="1"/>
      <c r="F102" s="65">
        <f t="shared" si="17"/>
        <v>0.94804272605210582</v>
      </c>
      <c r="G102" s="70">
        <f>($D$49+$E$49*(B102-20))*F102</f>
        <v>9208.7575216733967</v>
      </c>
      <c r="H102" s="36"/>
      <c r="I102" s="36"/>
      <c r="J102" s="36"/>
      <c r="K102" s="36"/>
      <c r="L102" s="36"/>
      <c r="M102" s="36"/>
      <c r="N102" s="36"/>
      <c r="O102" s="36"/>
      <c r="P102" s="43"/>
      <c r="Q102" s="37"/>
    </row>
    <row r="103" spans="1:19" x14ac:dyDescent="0.2">
      <c r="A103" s="47" t="s">
        <v>3</v>
      </c>
      <c r="B103" s="14">
        <v>32</v>
      </c>
      <c r="C103" s="1"/>
      <c r="D103" s="1"/>
      <c r="E103" s="1"/>
      <c r="F103" s="66">
        <f t="shared" si="17"/>
        <v>0.41469276531543453</v>
      </c>
      <c r="G103" s="71">
        <f>($D$49+$E$49*(B103-20))*F103</f>
        <v>4123.8495344663406</v>
      </c>
      <c r="H103" s="36"/>
      <c r="I103" s="36"/>
      <c r="J103" s="36"/>
      <c r="K103" s="36"/>
      <c r="L103" s="36"/>
      <c r="M103" s="36"/>
      <c r="N103" s="36"/>
      <c r="O103" s="36"/>
      <c r="P103" s="43"/>
      <c r="Q103" s="37"/>
    </row>
    <row r="104" spans="1:19" x14ac:dyDescent="0.2">
      <c r="A104" s="1"/>
      <c r="B104" s="1"/>
      <c r="C104" s="1"/>
      <c r="D104" s="1"/>
      <c r="E104" s="1"/>
      <c r="F104" s="35"/>
      <c r="G104" s="55"/>
      <c r="H104" s="36"/>
      <c r="I104" s="36"/>
      <c r="J104" s="36"/>
      <c r="K104" s="36"/>
      <c r="L104" s="36"/>
      <c r="M104" s="36"/>
      <c r="N104" s="36"/>
      <c r="O104" s="36"/>
      <c r="P104" s="43"/>
      <c r="Q104" s="37"/>
    </row>
    <row r="105" spans="1:19" x14ac:dyDescent="0.2">
      <c r="A105" s="1"/>
      <c r="B105" s="1"/>
      <c r="C105" s="1"/>
      <c r="D105" s="1"/>
      <c r="E105" s="1"/>
      <c r="F105" s="35"/>
      <c r="G105" s="55"/>
      <c r="H105" s="36"/>
      <c r="I105" s="36"/>
      <c r="J105" s="36"/>
      <c r="K105" s="36"/>
      <c r="L105" s="36"/>
      <c r="M105" s="36"/>
      <c r="N105" s="36"/>
      <c r="O105" s="36"/>
      <c r="P105" s="43"/>
      <c r="Q105" s="37"/>
    </row>
    <row r="106" spans="1:19" x14ac:dyDescent="0.2">
      <c r="A106" s="1"/>
      <c r="B106" s="1"/>
      <c r="C106" s="1"/>
      <c r="D106" s="1"/>
      <c r="E106" s="1"/>
      <c r="F106" s="35"/>
      <c r="G106" s="55"/>
      <c r="H106" s="36"/>
      <c r="I106" s="36"/>
      <c r="J106" s="36"/>
      <c r="K106" s="36"/>
      <c r="L106" s="36"/>
      <c r="M106" s="36"/>
      <c r="N106" s="36"/>
      <c r="O106" s="36"/>
      <c r="P106" s="43"/>
      <c r="Q106" s="37"/>
    </row>
    <row r="107" spans="1:19" x14ac:dyDescent="0.2">
      <c r="A107" s="1"/>
      <c r="B107" s="1"/>
      <c r="C107" s="1"/>
      <c r="D107" s="1"/>
      <c r="E107" s="1"/>
      <c r="F107" s="35"/>
      <c r="G107" s="55"/>
      <c r="H107" s="36"/>
      <c r="I107" s="36"/>
      <c r="J107" s="36"/>
      <c r="K107" s="36"/>
      <c r="L107" s="36"/>
      <c r="M107" s="36"/>
      <c r="N107" s="36"/>
      <c r="O107" s="36"/>
      <c r="P107" s="43"/>
      <c r="Q107" s="37"/>
    </row>
    <row r="108" spans="1:19" x14ac:dyDescent="0.2">
      <c r="A108" s="1"/>
      <c r="B108" s="1"/>
      <c r="C108" s="1"/>
      <c r="D108" s="1"/>
      <c r="E108" s="1"/>
      <c r="F108" s="35"/>
      <c r="G108" s="55"/>
      <c r="H108" s="36"/>
      <c r="I108" s="36"/>
      <c r="J108" s="36"/>
      <c r="K108" s="36"/>
      <c r="L108" s="36"/>
      <c r="M108" s="36"/>
      <c r="N108" s="36"/>
      <c r="O108" s="36"/>
      <c r="P108" s="43"/>
      <c r="Q108" s="37"/>
    </row>
    <row r="109" spans="1:19" x14ac:dyDescent="0.2">
      <c r="A109" s="1"/>
      <c r="B109" s="1"/>
      <c r="C109" s="1"/>
      <c r="D109" s="1"/>
      <c r="E109" s="1"/>
      <c r="F109" s="1"/>
      <c r="G109" s="55"/>
      <c r="H109" s="36"/>
      <c r="I109" s="36"/>
      <c r="J109" s="36"/>
      <c r="K109" s="36"/>
      <c r="L109" s="36"/>
      <c r="M109" s="36"/>
      <c r="N109" s="36"/>
      <c r="O109" s="36"/>
      <c r="P109" s="43"/>
      <c r="Q109" s="37"/>
    </row>
    <row r="110" spans="1:19" x14ac:dyDescent="0.2">
      <c r="A110" s="1"/>
      <c r="B110" s="1"/>
      <c r="C110" s="1"/>
      <c r="D110" s="1"/>
      <c r="E110" s="1"/>
      <c r="F110" s="1"/>
      <c r="G110" s="55"/>
      <c r="H110" s="36"/>
      <c r="I110" s="36"/>
      <c r="J110" s="36"/>
      <c r="K110" s="36"/>
      <c r="L110" s="36"/>
      <c r="M110" s="36"/>
      <c r="N110" s="36"/>
      <c r="O110" s="36"/>
      <c r="P110" s="43"/>
      <c r="Q110" s="37"/>
    </row>
    <row r="111" spans="1:19" x14ac:dyDescent="0.2">
      <c r="A111" s="1"/>
      <c r="B111" s="1"/>
      <c r="C111" s="1"/>
      <c r="D111" s="1"/>
      <c r="E111" s="1"/>
      <c r="F111" s="1"/>
      <c r="G111" s="55"/>
      <c r="H111" s="56"/>
      <c r="I111" s="56"/>
      <c r="J111" s="56"/>
      <c r="K111" s="56"/>
      <c r="L111" s="56"/>
      <c r="M111" s="56"/>
      <c r="N111" s="56"/>
      <c r="O111" s="56"/>
      <c r="P111" s="57"/>
      <c r="Q111" s="37"/>
    </row>
    <row r="112" spans="1:19" x14ac:dyDescent="0.2">
      <c r="A112" s="1"/>
      <c r="B112" s="1"/>
      <c r="C112" s="1"/>
      <c r="D112" s="1"/>
      <c r="E112" s="1"/>
      <c r="F112" s="1"/>
      <c r="G112" s="55"/>
      <c r="H112" s="56"/>
      <c r="I112" s="56"/>
      <c r="J112" s="56"/>
      <c r="K112" s="56"/>
      <c r="L112" s="56"/>
      <c r="M112" s="56"/>
      <c r="N112" s="56"/>
      <c r="O112" s="56"/>
      <c r="P112" s="57"/>
      <c r="Q112" s="37"/>
    </row>
    <row r="113" spans="1:17" x14ac:dyDescent="0.2">
      <c r="A113" s="1"/>
      <c r="B113" s="1"/>
      <c r="C113" s="1"/>
      <c r="D113" s="1"/>
      <c r="E113" s="1"/>
      <c r="F113" s="1"/>
      <c r="G113" s="55"/>
      <c r="H113" s="56"/>
      <c r="I113" s="56"/>
      <c r="J113" s="56"/>
      <c r="K113" s="56"/>
      <c r="L113" s="56"/>
      <c r="M113" s="56"/>
      <c r="N113" s="56"/>
      <c r="O113" s="56"/>
      <c r="P113" s="57"/>
      <c r="Q113" s="37"/>
    </row>
    <row r="114" spans="1:17" x14ac:dyDescent="0.2">
      <c r="A114" s="1"/>
      <c r="B114" s="1"/>
      <c r="C114" s="1"/>
      <c r="D114" s="1"/>
      <c r="E114" s="1"/>
      <c r="F114" s="1"/>
      <c r="G114" s="55"/>
      <c r="H114" s="56"/>
      <c r="I114" s="56"/>
      <c r="J114" s="56"/>
      <c r="K114" s="56"/>
      <c r="L114" s="56"/>
      <c r="M114" s="56"/>
      <c r="N114" s="56"/>
      <c r="O114" s="56"/>
      <c r="P114" s="57"/>
      <c r="Q114" s="37"/>
    </row>
    <row r="115" spans="1:17" x14ac:dyDescent="0.2">
      <c r="A115" s="1"/>
      <c r="B115" s="1"/>
      <c r="C115" s="1"/>
      <c r="D115" s="1"/>
      <c r="E115" s="1"/>
      <c r="F115" s="1"/>
      <c r="G115" s="55"/>
      <c r="H115" s="56"/>
      <c r="I115" s="56"/>
      <c r="J115" s="56"/>
      <c r="K115" s="56"/>
      <c r="L115" s="56"/>
      <c r="M115" s="56"/>
      <c r="N115" s="56"/>
      <c r="O115" s="56"/>
      <c r="P115" s="57"/>
      <c r="Q115" s="37"/>
    </row>
    <row r="116" spans="1:17" x14ac:dyDescent="0.2">
      <c r="A116" s="1"/>
      <c r="B116" s="1"/>
      <c r="C116" s="1"/>
      <c r="D116" s="1"/>
      <c r="E116" s="1"/>
      <c r="F116" s="1"/>
      <c r="G116" s="55"/>
      <c r="H116" s="56"/>
      <c r="I116" s="56"/>
      <c r="J116" s="56"/>
      <c r="K116" s="56"/>
      <c r="L116" s="56"/>
      <c r="M116" s="56"/>
      <c r="N116" s="56"/>
      <c r="O116" s="56"/>
      <c r="P116" s="57"/>
      <c r="Q116" s="37"/>
    </row>
    <row r="117" spans="1:17" x14ac:dyDescent="0.2">
      <c r="A117" s="1"/>
      <c r="B117" s="1"/>
      <c r="C117" s="1"/>
      <c r="D117" s="1"/>
      <c r="E117" s="1"/>
      <c r="F117" s="1"/>
      <c r="G117" s="55"/>
      <c r="H117" s="56"/>
      <c r="I117" s="56"/>
      <c r="J117" s="56"/>
      <c r="K117" s="56"/>
      <c r="L117" s="56"/>
      <c r="M117" s="56"/>
      <c r="N117" s="56"/>
      <c r="O117" s="56"/>
      <c r="P117" s="57"/>
      <c r="Q117" s="37"/>
    </row>
    <row r="118" spans="1:17" x14ac:dyDescent="0.2">
      <c r="A118" s="1"/>
      <c r="B118" s="1"/>
      <c r="C118" s="1"/>
      <c r="D118" s="1"/>
      <c r="E118" s="1"/>
      <c r="F118" s="1"/>
      <c r="G118" s="55"/>
      <c r="H118" s="56"/>
      <c r="I118" s="56"/>
      <c r="J118" s="56"/>
      <c r="K118" s="56"/>
      <c r="L118" s="56"/>
      <c r="M118" s="56"/>
      <c r="N118" s="56"/>
      <c r="O118" s="56"/>
      <c r="P118" s="57"/>
      <c r="Q118" s="37"/>
    </row>
    <row r="119" spans="1:17" x14ac:dyDescent="0.2">
      <c r="A119" s="1"/>
      <c r="B119" s="1"/>
      <c r="C119" s="1"/>
      <c r="D119" s="1"/>
      <c r="E119" s="1"/>
      <c r="F119" s="1"/>
      <c r="G119" s="55"/>
      <c r="H119" s="56"/>
      <c r="I119" s="56"/>
      <c r="J119" s="56"/>
      <c r="K119" s="56"/>
      <c r="L119" s="56"/>
      <c r="M119" s="56"/>
      <c r="N119" s="56"/>
      <c r="O119" s="56"/>
      <c r="P119" s="57"/>
      <c r="Q119" s="37"/>
    </row>
    <row r="120" spans="1:17" x14ac:dyDescent="0.2">
      <c r="A120" s="1"/>
      <c r="B120" s="1"/>
      <c r="C120" s="1"/>
      <c r="D120" s="1"/>
      <c r="E120" s="1"/>
      <c r="F120" s="1"/>
      <c r="G120" s="55"/>
      <c r="H120" s="56"/>
      <c r="I120" s="56"/>
      <c r="J120" s="56"/>
      <c r="K120" s="56"/>
      <c r="L120" s="56"/>
      <c r="M120" s="56"/>
      <c r="N120" s="56"/>
      <c r="O120" s="56"/>
      <c r="P120" s="57"/>
      <c r="Q120" s="37"/>
    </row>
    <row r="121" spans="1:17" x14ac:dyDescent="0.2">
      <c r="A121" s="1"/>
      <c r="B121" s="1"/>
      <c r="C121" s="1"/>
      <c r="D121" s="1"/>
      <c r="E121" s="1"/>
      <c r="F121" s="1"/>
      <c r="G121" s="55"/>
      <c r="H121" s="56"/>
      <c r="I121" s="56"/>
      <c r="J121" s="56"/>
      <c r="K121" s="56"/>
      <c r="L121" s="56"/>
      <c r="M121" s="56"/>
      <c r="N121" s="56"/>
      <c r="O121" s="56"/>
      <c r="P121" s="57"/>
      <c r="Q121" s="37"/>
    </row>
    <row r="122" spans="1:17" x14ac:dyDescent="0.2">
      <c r="A122" s="1"/>
      <c r="B122" s="1"/>
      <c r="C122" s="1"/>
      <c r="D122" s="1"/>
      <c r="E122" s="1"/>
      <c r="F122" s="1"/>
      <c r="G122" s="55"/>
      <c r="H122" s="56"/>
      <c r="I122" s="56"/>
      <c r="J122" s="56"/>
      <c r="K122" s="56"/>
      <c r="L122" s="56"/>
      <c r="M122" s="56"/>
      <c r="N122" s="56"/>
      <c r="O122" s="56"/>
      <c r="P122" s="57"/>
      <c r="Q122" s="37"/>
    </row>
    <row r="123" spans="1:17" x14ac:dyDescent="0.2">
      <c r="A123" s="1"/>
      <c r="B123" s="1"/>
      <c r="C123" s="1"/>
      <c r="D123" s="1"/>
      <c r="E123" s="1"/>
      <c r="F123" s="1"/>
      <c r="G123" s="55"/>
      <c r="H123" s="56"/>
      <c r="I123" s="56"/>
      <c r="J123" s="56"/>
      <c r="K123" s="56"/>
      <c r="L123" s="56"/>
      <c r="M123" s="56"/>
      <c r="N123" s="56"/>
      <c r="O123" s="56"/>
      <c r="P123" s="57"/>
      <c r="Q123" s="37"/>
    </row>
    <row r="124" spans="1:17" x14ac:dyDescent="0.2">
      <c r="A124" s="1"/>
      <c r="B124" s="1"/>
      <c r="C124" s="1"/>
      <c r="D124" s="1"/>
      <c r="E124" s="1"/>
      <c r="F124" s="1"/>
      <c r="G124" s="55"/>
      <c r="H124" s="56"/>
      <c r="I124" s="56"/>
      <c r="J124" s="56"/>
      <c r="K124" s="56"/>
      <c r="L124" s="56"/>
      <c r="M124" s="56"/>
      <c r="N124" s="56"/>
      <c r="O124" s="56"/>
      <c r="P124" s="57"/>
      <c r="Q124" s="37"/>
    </row>
    <row r="125" spans="1:17" x14ac:dyDescent="0.2">
      <c r="F125" s="2"/>
      <c r="H125" s="37"/>
      <c r="I125" s="37"/>
      <c r="J125" s="37"/>
      <c r="K125" s="37"/>
      <c r="L125" s="37"/>
      <c r="M125" s="37"/>
      <c r="N125" s="37"/>
      <c r="O125" s="37"/>
      <c r="P125" s="44"/>
      <c r="Q125" s="37"/>
    </row>
    <row r="126" spans="1:17" x14ac:dyDescent="0.2">
      <c r="F126" s="2"/>
      <c r="H126" s="37"/>
      <c r="I126" s="37"/>
      <c r="J126" s="37"/>
      <c r="K126" s="37"/>
      <c r="L126" s="37"/>
      <c r="M126" s="37"/>
      <c r="N126" s="37"/>
      <c r="O126" s="37"/>
      <c r="P126" s="44"/>
      <c r="Q126" s="37"/>
    </row>
    <row r="127" spans="1:17" x14ac:dyDescent="0.2">
      <c r="G127" s="37"/>
      <c r="H127" s="37"/>
      <c r="I127" s="37"/>
      <c r="J127" s="37"/>
      <c r="K127" s="37"/>
      <c r="L127" s="37"/>
      <c r="M127" s="37"/>
      <c r="N127" s="37"/>
      <c r="O127" s="44"/>
      <c r="P127" s="37"/>
    </row>
    <row r="128" spans="1:17" x14ac:dyDescent="0.2">
      <c r="G128" s="37"/>
      <c r="H128" s="37"/>
      <c r="I128" s="37"/>
      <c r="J128" s="37"/>
      <c r="K128" s="37"/>
      <c r="L128" s="37"/>
      <c r="M128" s="37"/>
      <c r="N128" s="37"/>
      <c r="O128" s="44"/>
      <c r="P128" s="37"/>
    </row>
    <row r="129" spans="7:16" x14ac:dyDescent="0.2">
      <c r="G129" s="37"/>
      <c r="H129" s="37"/>
      <c r="I129" s="37"/>
      <c r="J129" s="37"/>
      <c r="K129" s="37"/>
      <c r="L129" s="37"/>
      <c r="M129" s="37"/>
      <c r="N129" s="37"/>
      <c r="O129" s="44"/>
      <c r="P129" s="37"/>
    </row>
    <row r="130" spans="7:16" x14ac:dyDescent="0.2">
      <c r="G130" s="37"/>
      <c r="H130" s="37"/>
      <c r="I130" s="37"/>
      <c r="J130" s="37"/>
      <c r="K130" s="37"/>
      <c r="L130" s="37"/>
      <c r="M130" s="37"/>
      <c r="N130" s="37"/>
      <c r="O130" s="44"/>
      <c r="P130" s="37"/>
    </row>
    <row r="131" spans="7:16" x14ac:dyDescent="0.2">
      <c r="G131" s="37"/>
      <c r="H131" s="37"/>
      <c r="I131" s="37"/>
      <c r="J131" s="37"/>
      <c r="K131" s="37"/>
      <c r="L131" s="37"/>
      <c r="M131" s="37"/>
      <c r="N131" s="37"/>
      <c r="O131" s="44"/>
      <c r="P131" s="37"/>
    </row>
    <row r="132" spans="7:16" x14ac:dyDescent="0.2">
      <c r="G132" s="37"/>
      <c r="H132" s="37"/>
      <c r="I132" s="37"/>
      <c r="J132" s="37"/>
      <c r="K132" s="37"/>
      <c r="L132" s="37"/>
      <c r="M132" s="37"/>
      <c r="N132" s="37"/>
      <c r="O132" s="44"/>
      <c r="P132" s="37"/>
    </row>
    <row r="133" spans="7:16" x14ac:dyDescent="0.2">
      <c r="G133" s="37"/>
      <c r="H133" s="37"/>
      <c r="I133" s="37"/>
      <c r="J133" s="37"/>
      <c r="K133" s="37"/>
      <c r="L133" s="37"/>
      <c r="M133" s="37"/>
      <c r="N133" s="37"/>
      <c r="O133" s="44"/>
      <c r="P133" s="37"/>
    </row>
  </sheetData>
  <mergeCells count="42">
    <mergeCell ref="E23:F23"/>
    <mergeCell ref="E24:F24"/>
    <mergeCell ref="E19:F19"/>
    <mergeCell ref="E20:F20"/>
    <mergeCell ref="E21:F21"/>
    <mergeCell ref="E22:F22"/>
    <mergeCell ref="E14:F14"/>
    <mergeCell ref="E15:F15"/>
    <mergeCell ref="E16:F16"/>
    <mergeCell ref="E17:F17"/>
    <mergeCell ref="E18:F18"/>
    <mergeCell ref="C22:D22"/>
    <mergeCell ref="C23:D23"/>
    <mergeCell ref="C24:D24"/>
    <mergeCell ref="C4:D4"/>
    <mergeCell ref="E4:F4"/>
    <mergeCell ref="E5:F5"/>
    <mergeCell ref="E6:F6"/>
    <mergeCell ref="C5:D5"/>
    <mergeCell ref="C6:D6"/>
    <mergeCell ref="E7:F7"/>
    <mergeCell ref="E8:F8"/>
    <mergeCell ref="E9:F9"/>
    <mergeCell ref="E10:F10"/>
    <mergeCell ref="E11:F11"/>
    <mergeCell ref="E12:F12"/>
    <mergeCell ref="E13:F13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C7:D7"/>
    <mergeCell ref="C8:D8"/>
    <mergeCell ref="C9:D9"/>
    <mergeCell ref="C10:D10"/>
    <mergeCell ref="C11:D11"/>
  </mergeCells>
  <phoneticPr fontId="0" type="noConversion"/>
  <pageMargins left="0.75" right="0.75" top="0.51" bottom="0.48" header="0.5" footer="0.5"/>
  <pageSetup paperSize="9" scale="36" orientation="landscape" horizontalDpi="300" verticalDpi="300" r:id="rId2"/>
  <headerFooter alignWithMargins="0">
    <oddFooter>&amp;LCR - &amp;D &amp;T&amp;R&amp;F  -  &amp;A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Z126"/>
  <sheetViews>
    <sheetView showFormulas="1" zoomScale="50" workbookViewId="0">
      <selection activeCell="R65" sqref="R65"/>
    </sheetView>
  </sheetViews>
  <sheetFormatPr defaultRowHeight="12.75" x14ac:dyDescent="0.2"/>
  <cols>
    <col min="1" max="5" width="10" style="2" customWidth="1"/>
    <col min="6" max="7" width="10" customWidth="1"/>
    <col min="8" max="10" width="8.5703125" customWidth="1"/>
    <col min="11" max="11" width="12.28515625" customWidth="1"/>
    <col min="12" max="12" width="11.140625" customWidth="1"/>
    <col min="13" max="14" width="8.5703125" customWidth="1"/>
    <col min="15" max="15" width="8.5703125" style="39" customWidth="1"/>
    <col min="17" max="17" width="6.140625" customWidth="1"/>
    <col min="18" max="18" width="29.5703125" customWidth="1"/>
    <col min="19" max="19" width="6.42578125" customWidth="1"/>
    <col min="20" max="26" width="9.7109375" customWidth="1"/>
  </cols>
  <sheetData>
    <row r="1" spans="1:15" x14ac:dyDescent="0.2">
      <c r="A1" s="8" t="s">
        <v>67</v>
      </c>
    </row>
    <row r="4" spans="1:15" s="31" customFormat="1" ht="41.25" customHeight="1" x14ac:dyDescent="0.2">
      <c r="A4" s="38" t="s">
        <v>1</v>
      </c>
      <c r="B4" s="38" t="s">
        <v>2</v>
      </c>
      <c r="C4" s="100" t="s">
        <v>49</v>
      </c>
      <c r="D4" s="101"/>
      <c r="E4" s="100" t="s">
        <v>50</v>
      </c>
      <c r="F4" s="101"/>
      <c r="O4" s="48"/>
    </row>
    <row r="5" spans="1:15" x14ac:dyDescent="0.2">
      <c r="A5" s="49">
        <v>2005</v>
      </c>
      <c r="B5" s="23" t="s">
        <v>4</v>
      </c>
      <c r="C5" s="96">
        <v>2250</v>
      </c>
      <c r="D5" s="97"/>
      <c r="E5" s="96">
        <v>3200</v>
      </c>
      <c r="F5" s="97"/>
    </row>
    <row r="6" spans="1:15" x14ac:dyDescent="0.2">
      <c r="A6" s="49"/>
      <c r="B6" s="23" t="s">
        <v>48</v>
      </c>
      <c r="C6" s="96">
        <v>1737</v>
      </c>
      <c r="D6" s="97"/>
      <c r="E6" s="96">
        <v>7658</v>
      </c>
      <c r="F6" s="97"/>
      <c r="I6" s="7" t="s">
        <v>51</v>
      </c>
      <c r="J6" s="7" t="s">
        <v>34</v>
      </c>
    </row>
    <row r="7" spans="1:15" x14ac:dyDescent="0.2">
      <c r="A7" s="49"/>
      <c r="B7" s="23" t="s">
        <v>5</v>
      </c>
      <c r="C7" s="96">
        <v>2412</v>
      </c>
      <c r="D7" s="97"/>
      <c r="E7" s="96">
        <v>4420</v>
      </c>
      <c r="F7" s="97"/>
    </row>
    <row r="8" spans="1:15" x14ac:dyDescent="0.2">
      <c r="A8" s="49"/>
      <c r="B8" s="23" t="s">
        <v>3</v>
      </c>
      <c r="C8" s="96">
        <v>7269</v>
      </c>
      <c r="D8" s="97"/>
      <c r="E8" s="96">
        <v>2384</v>
      </c>
      <c r="F8" s="97"/>
    </row>
    <row r="9" spans="1:15" x14ac:dyDescent="0.2">
      <c r="A9" s="49">
        <v>2006</v>
      </c>
      <c r="B9" s="23" t="s">
        <v>4</v>
      </c>
      <c r="C9" s="96">
        <v>3514</v>
      </c>
      <c r="D9" s="97"/>
      <c r="E9" s="96">
        <v>3654</v>
      </c>
      <c r="F9" s="97"/>
    </row>
    <row r="10" spans="1:15" x14ac:dyDescent="0.2">
      <c r="A10" s="49"/>
      <c r="B10" s="23" t="s">
        <v>48</v>
      </c>
      <c r="C10" s="96">
        <v>2143</v>
      </c>
      <c r="D10" s="97"/>
      <c r="E10" s="96">
        <v>8680</v>
      </c>
      <c r="F10" s="97"/>
    </row>
    <row r="11" spans="1:15" x14ac:dyDescent="0.2">
      <c r="A11" s="49"/>
      <c r="B11" s="23" t="s">
        <v>5</v>
      </c>
      <c r="C11" s="96">
        <v>3459</v>
      </c>
      <c r="D11" s="97"/>
      <c r="E11" s="96">
        <v>5695</v>
      </c>
      <c r="F11" s="97"/>
    </row>
    <row r="12" spans="1:15" x14ac:dyDescent="0.2">
      <c r="A12" s="49"/>
      <c r="B12" s="23" t="s">
        <v>3</v>
      </c>
      <c r="C12" s="96">
        <v>7056</v>
      </c>
      <c r="D12" s="97"/>
      <c r="E12" s="96">
        <v>1953</v>
      </c>
      <c r="F12" s="97"/>
    </row>
    <row r="13" spans="1:15" x14ac:dyDescent="0.2">
      <c r="A13" s="49">
        <v>2007</v>
      </c>
      <c r="B13" s="23" t="s">
        <v>4</v>
      </c>
      <c r="C13" s="96">
        <v>4120</v>
      </c>
      <c r="D13" s="97"/>
      <c r="E13" s="96">
        <v>4742</v>
      </c>
      <c r="F13" s="97"/>
    </row>
    <row r="14" spans="1:15" x14ac:dyDescent="0.2">
      <c r="A14" s="49"/>
      <c r="B14" s="23" t="s">
        <v>48</v>
      </c>
      <c r="C14" s="96">
        <v>2766</v>
      </c>
      <c r="D14" s="97"/>
      <c r="E14" s="96">
        <v>13673</v>
      </c>
      <c r="F14" s="97"/>
    </row>
    <row r="15" spans="1:15" x14ac:dyDescent="0.2">
      <c r="A15" s="49"/>
      <c r="B15" s="23" t="s">
        <v>5</v>
      </c>
      <c r="C15" s="96">
        <v>2556</v>
      </c>
      <c r="D15" s="97"/>
      <c r="E15" s="96">
        <v>6640</v>
      </c>
      <c r="F15" s="97"/>
    </row>
    <row r="16" spans="1:15" x14ac:dyDescent="0.2">
      <c r="A16" s="49"/>
      <c r="B16" s="23" t="s">
        <v>3</v>
      </c>
      <c r="C16" s="96">
        <v>8253</v>
      </c>
      <c r="D16" s="97"/>
      <c r="E16" s="96">
        <v>2737</v>
      </c>
      <c r="F16" s="97"/>
    </row>
    <row r="17" spans="1:19" x14ac:dyDescent="0.2">
      <c r="A17" s="49">
        <v>2008</v>
      </c>
      <c r="B17" s="23" t="s">
        <v>4</v>
      </c>
      <c r="C17" s="96">
        <v>5491</v>
      </c>
      <c r="D17" s="97"/>
      <c r="E17" s="96">
        <v>3486</v>
      </c>
      <c r="F17" s="97"/>
    </row>
    <row r="18" spans="1:19" x14ac:dyDescent="0.2">
      <c r="A18" s="49"/>
      <c r="B18" s="23" t="s">
        <v>48</v>
      </c>
      <c r="C18" s="96">
        <v>4382</v>
      </c>
      <c r="D18" s="97"/>
      <c r="E18" s="96">
        <v>13186</v>
      </c>
      <c r="F18" s="97"/>
    </row>
    <row r="19" spans="1:19" x14ac:dyDescent="0.2">
      <c r="A19" s="49"/>
      <c r="B19" s="23" t="s">
        <v>5</v>
      </c>
      <c r="C19" s="96">
        <v>4315</v>
      </c>
      <c r="D19" s="97"/>
      <c r="E19" s="96">
        <v>5448</v>
      </c>
      <c r="F19" s="97"/>
    </row>
    <row r="20" spans="1:19" x14ac:dyDescent="0.2">
      <c r="A20" s="49"/>
      <c r="B20" s="23" t="s">
        <v>3</v>
      </c>
      <c r="C20" s="96">
        <v>12035</v>
      </c>
      <c r="D20" s="97"/>
      <c r="E20" s="96">
        <v>3485</v>
      </c>
      <c r="F20" s="97"/>
    </row>
    <row r="21" spans="1:19" x14ac:dyDescent="0.2">
      <c r="A21" s="49">
        <v>2009</v>
      </c>
      <c r="B21" s="23" t="s">
        <v>4</v>
      </c>
      <c r="C21" s="96">
        <v>5648</v>
      </c>
      <c r="D21" s="97"/>
      <c r="E21" s="96">
        <v>7728</v>
      </c>
      <c r="F21" s="97"/>
    </row>
    <row r="22" spans="1:19" x14ac:dyDescent="0.2">
      <c r="A22" s="49"/>
      <c r="B22" s="23" t="s">
        <v>48</v>
      </c>
      <c r="C22" s="96">
        <v>3696</v>
      </c>
      <c r="D22" s="97"/>
      <c r="E22" s="96">
        <v>16591</v>
      </c>
      <c r="F22" s="97"/>
    </row>
    <row r="23" spans="1:19" x14ac:dyDescent="0.2">
      <c r="A23" s="49"/>
      <c r="B23" s="23" t="s">
        <v>5</v>
      </c>
      <c r="C23" s="96">
        <v>4843</v>
      </c>
      <c r="D23" s="97"/>
      <c r="E23" s="96">
        <v>8236</v>
      </c>
      <c r="F23" s="97"/>
    </row>
    <row r="24" spans="1:19" x14ac:dyDescent="0.2">
      <c r="A24" s="50"/>
      <c r="B24" s="24" t="s">
        <v>3</v>
      </c>
      <c r="C24" s="98">
        <v>13097</v>
      </c>
      <c r="D24" s="99"/>
      <c r="E24" s="98">
        <v>3316</v>
      </c>
      <c r="F24" s="99"/>
    </row>
    <row r="25" spans="1:19" x14ac:dyDescent="0.2">
      <c r="A25"/>
      <c r="B25"/>
      <c r="C25"/>
      <c r="D25"/>
      <c r="E25"/>
    </row>
    <row r="26" spans="1:19" x14ac:dyDescent="0.2">
      <c r="A26"/>
      <c r="B26"/>
      <c r="C26"/>
      <c r="D26"/>
      <c r="E26"/>
    </row>
    <row r="27" spans="1:19" ht="15.75" x14ac:dyDescent="0.25">
      <c r="A27" s="59" t="s">
        <v>53</v>
      </c>
      <c r="B27" s="51"/>
      <c r="F27" s="2"/>
      <c r="O27"/>
      <c r="P27" s="39"/>
    </row>
    <row r="28" spans="1:19" s="31" customFormat="1" ht="45.75" customHeight="1" x14ac:dyDescent="0.3">
      <c r="A28" s="30" t="s">
        <v>2</v>
      </c>
      <c r="B28" s="30" t="s">
        <v>6</v>
      </c>
      <c r="C28" s="30" t="s">
        <v>7</v>
      </c>
      <c r="D28" s="30" t="s">
        <v>36</v>
      </c>
      <c r="E28" s="30" t="s">
        <v>37</v>
      </c>
      <c r="F28" s="30" t="s">
        <v>8</v>
      </c>
      <c r="G28" s="32" t="s">
        <v>9</v>
      </c>
      <c r="H28" s="33"/>
      <c r="I28" s="30" t="s">
        <v>38</v>
      </c>
      <c r="J28" s="30" t="s">
        <v>39</v>
      </c>
      <c r="K28" s="30" t="s">
        <v>43</v>
      </c>
      <c r="L28" s="30" t="s">
        <v>40</v>
      </c>
      <c r="M28" s="30" t="s">
        <v>41</v>
      </c>
      <c r="N28" s="30" t="s">
        <v>45</v>
      </c>
      <c r="O28" s="30" t="s">
        <v>42</v>
      </c>
      <c r="P28" s="40" t="s">
        <v>44</v>
      </c>
      <c r="R28" s="8" t="s">
        <v>68</v>
      </c>
    </row>
    <row r="29" spans="1:19" x14ac:dyDescent="0.2">
      <c r="A29" s="46" t="s">
        <v>4</v>
      </c>
      <c r="B29" s="13">
        <v>1</v>
      </c>
      <c r="C29" s="78">
        <v>2250</v>
      </c>
      <c r="D29" s="15"/>
      <c r="E29" s="15">
        <f t="shared" ref="E29:E48" si="0">$S$46+B29*$S$47</f>
        <v>3365.2865808823558</v>
      </c>
      <c r="F29" s="17">
        <f t="shared" ref="F29:F48" si="1">C29/E29</f>
        <v>0.66859090479303696</v>
      </c>
      <c r="G29" s="25">
        <f>($S$46+B29*$S$47)*$S$53</f>
        <v>2396.4358768520869</v>
      </c>
      <c r="H29" s="34"/>
      <c r="I29" s="25">
        <f t="shared" ref="I29:I48" si="2">G29-C29</f>
        <v>146.43587685208695</v>
      </c>
      <c r="J29" s="25">
        <f t="shared" ref="J29:J48" si="3">ABS(I29)</f>
        <v>146.43587685208695</v>
      </c>
      <c r="K29" s="25">
        <f>SUM($I$29:I29)</f>
        <v>146.43587685208695</v>
      </c>
      <c r="L29" s="25">
        <f>SUMSQ($I$29:I29)/B29</f>
        <v>21443.466029439573</v>
      </c>
      <c r="M29" s="25">
        <f>SUM($J$29:J29)/B29</f>
        <v>146.43587685208695</v>
      </c>
      <c r="N29" s="25">
        <f t="shared" ref="N29:N48" si="4">J29/C29*100</f>
        <v>6.5082611934260859</v>
      </c>
      <c r="O29" s="25">
        <f>AVERAGE($N$29:N29)</f>
        <v>6.5082611934260859</v>
      </c>
      <c r="P29" s="41">
        <f>SUM($I$29:I29)/M29</f>
        <v>1</v>
      </c>
    </row>
    <row r="30" spans="1:19" x14ac:dyDescent="0.2">
      <c r="A30" s="46" t="s">
        <v>48</v>
      </c>
      <c r="B30" s="13">
        <v>2</v>
      </c>
      <c r="C30" s="78">
        <v>1737</v>
      </c>
      <c r="D30" s="15"/>
      <c r="E30" s="15">
        <f t="shared" si="0"/>
        <v>3678.4093750000029</v>
      </c>
      <c r="F30" s="17">
        <f t="shared" si="1"/>
        <v>0.47221497743165103</v>
      </c>
      <c r="G30" s="25">
        <f>($S$46+B30*$S$47)*$S$54</f>
        <v>1775.1023352985376</v>
      </c>
      <c r="H30" s="34"/>
      <c r="I30" s="25">
        <f t="shared" si="2"/>
        <v>38.102335298537582</v>
      </c>
      <c r="J30" s="25">
        <f t="shared" si="3"/>
        <v>38.102335298537582</v>
      </c>
      <c r="K30" s="25">
        <f>SUM($I$29:I30)</f>
        <v>184.53821215062453</v>
      </c>
      <c r="L30" s="25">
        <f>SUMSQ($I$29:I30)/B30</f>
        <v>11447.626992320878</v>
      </c>
      <c r="M30" s="25">
        <f>SUM($J$29:J30)/B30</f>
        <v>92.269106075312266</v>
      </c>
      <c r="N30" s="25">
        <f t="shared" si="4"/>
        <v>2.1935714046365908</v>
      </c>
      <c r="O30" s="25">
        <f>AVERAGE($N$29:N30)</f>
        <v>4.3509162990313381</v>
      </c>
      <c r="P30" s="41">
        <f>SUM($I$29:I30)/M30</f>
        <v>2</v>
      </c>
      <c r="R30" t="s">
        <v>10</v>
      </c>
    </row>
    <row r="31" spans="1:19" ht="13.5" thickBot="1" x14ac:dyDescent="0.25">
      <c r="A31" s="46" t="s">
        <v>5</v>
      </c>
      <c r="B31" s="13">
        <v>3</v>
      </c>
      <c r="C31" s="78">
        <v>2412</v>
      </c>
      <c r="D31" s="15">
        <f t="shared" ref="D31:D46" si="5">(C29+C33+2*SUM(C30:C33))/(2*4)</f>
        <v>4453.5</v>
      </c>
      <c r="E31" s="15">
        <f t="shared" si="0"/>
        <v>3991.5321691176496</v>
      </c>
      <c r="F31" s="17">
        <f t="shared" si="1"/>
        <v>0.60427923358893687</v>
      </c>
      <c r="G31" s="25">
        <f>($S$46+B31*$S$47)*$S$55</f>
        <v>2261.5015294256705</v>
      </c>
      <c r="H31" s="34"/>
      <c r="I31" s="25">
        <f t="shared" si="2"/>
        <v>-150.49847057432953</v>
      </c>
      <c r="J31" s="25">
        <f t="shared" si="3"/>
        <v>150.49847057432953</v>
      </c>
      <c r="K31" s="25">
        <f>SUM($I$29:I31)</f>
        <v>34.039741576295</v>
      </c>
      <c r="L31" s="25">
        <f>SUMSQ($I$29:I31)/B31</f>
        <v>15181.681209951363</v>
      </c>
      <c r="M31" s="25">
        <f>SUM($J$29:J31)/B31</f>
        <v>111.67889424165135</v>
      </c>
      <c r="N31" s="25">
        <f t="shared" si="4"/>
        <v>6.2395717485211248</v>
      </c>
      <c r="O31" s="25">
        <f>AVERAGE($N$29:N31)</f>
        <v>4.980468115527934</v>
      </c>
      <c r="P31" s="41">
        <f>SUM($I$29:I31)/M31</f>
        <v>0.30480013083438701</v>
      </c>
    </row>
    <row r="32" spans="1:19" x14ac:dyDescent="0.2">
      <c r="A32" s="46" t="s">
        <v>3</v>
      </c>
      <c r="B32" s="13">
        <v>4</v>
      </c>
      <c r="C32" s="78">
        <v>7269</v>
      </c>
      <c r="D32" s="15">
        <f t="shared" si="5"/>
        <v>4319.5</v>
      </c>
      <c r="E32" s="15">
        <f t="shared" si="0"/>
        <v>4304.6549632352962</v>
      </c>
      <c r="F32" s="17">
        <f t="shared" si="1"/>
        <v>1.6886370828979889</v>
      </c>
      <c r="G32" s="25">
        <f>($S$46+B32*$S$47)*$S$56</f>
        <v>6396.6760365420996</v>
      </c>
      <c r="H32" s="34"/>
      <c r="I32" s="25">
        <f t="shared" si="2"/>
        <v>-872.32396345790039</v>
      </c>
      <c r="J32" s="25">
        <f t="shared" si="3"/>
        <v>872.32396345790039</v>
      </c>
      <c r="K32" s="25">
        <f>SUM($I$29:I32)</f>
        <v>-838.28422188160539</v>
      </c>
      <c r="L32" s="25">
        <f>SUMSQ($I$29:I32)/B32</f>
        <v>201623.53521318862</v>
      </c>
      <c r="M32" s="25">
        <f>SUM($J$29:J32)/B32</f>
        <v>301.84016154571361</v>
      </c>
      <c r="N32" s="25">
        <f t="shared" si="4"/>
        <v>12.00060480750998</v>
      </c>
      <c r="O32" s="25">
        <f>AVERAGE($N$29:N32)</f>
        <v>6.7355022885234455</v>
      </c>
      <c r="P32" s="41">
        <f>SUM($I$29:I32)/M32</f>
        <v>-2.777245471870871</v>
      </c>
      <c r="R32" s="6" t="s">
        <v>11</v>
      </c>
      <c r="S32" s="6"/>
    </row>
    <row r="33" spans="1:26" x14ac:dyDescent="0.2">
      <c r="A33" s="46" t="s">
        <v>4</v>
      </c>
      <c r="B33" s="13">
        <v>5</v>
      </c>
      <c r="C33" s="78">
        <v>3514</v>
      </c>
      <c r="D33" s="15">
        <f t="shared" si="5"/>
        <v>4830.125</v>
      </c>
      <c r="E33" s="15">
        <f t="shared" si="0"/>
        <v>4617.7777573529429</v>
      </c>
      <c r="F33" s="17">
        <f t="shared" si="1"/>
        <v>0.76097209191252557</v>
      </c>
      <c r="G33" s="25">
        <f>($S$46+B33*$S$47)*$S$53</f>
        <v>3288.3405389352242</v>
      </c>
      <c r="H33" s="34"/>
      <c r="I33" s="25">
        <f t="shared" si="2"/>
        <v>-225.65946106477577</v>
      </c>
      <c r="J33" s="25">
        <f t="shared" si="3"/>
        <v>225.65946106477577</v>
      </c>
      <c r="K33" s="25">
        <f>SUM($I$29:I33)</f>
        <v>-1063.9436829463812</v>
      </c>
      <c r="L33" s="25">
        <f>SUMSQ($I$29:I33)/B33</f>
        <v>171483.26664415991</v>
      </c>
      <c r="M33" s="25">
        <f>SUM($J$29:J33)/B33</f>
        <v>286.60402144952604</v>
      </c>
      <c r="N33" s="25">
        <f t="shared" si="4"/>
        <v>6.4217262682064815</v>
      </c>
      <c r="O33" s="25">
        <f>AVERAGE($N$29:N33)</f>
        <v>6.6727470844600534</v>
      </c>
      <c r="P33" s="41">
        <f>SUM($I$29:I33)/M33</f>
        <v>-3.7122426878917771</v>
      </c>
      <c r="R33" s="3" t="s">
        <v>12</v>
      </c>
      <c r="S33" s="3">
        <v>0.88755034535419997</v>
      </c>
    </row>
    <row r="34" spans="1:26" x14ac:dyDescent="0.2">
      <c r="A34" s="46" t="s">
        <v>48</v>
      </c>
      <c r="B34" s="13">
        <v>6</v>
      </c>
      <c r="C34" s="78">
        <v>2143</v>
      </c>
      <c r="D34" s="15">
        <f t="shared" si="5"/>
        <v>5833.625</v>
      </c>
      <c r="E34" s="15">
        <f t="shared" si="0"/>
        <v>4930.9005514705896</v>
      </c>
      <c r="F34" s="17">
        <f t="shared" si="1"/>
        <v>0.43460620988611759</v>
      </c>
      <c r="G34" s="25">
        <f>($S$46+B34*$S$47)*$S$54</f>
        <v>2379.5211983550043</v>
      </c>
      <c r="H34" s="34"/>
      <c r="I34" s="25">
        <f t="shared" si="2"/>
        <v>236.52119835500434</v>
      </c>
      <c r="J34" s="25">
        <f t="shared" si="3"/>
        <v>236.52119835500434</v>
      </c>
      <c r="K34" s="25">
        <f>SUM($I$29:I34)</f>
        <v>-827.42248459137681</v>
      </c>
      <c r="L34" s="25">
        <f>SUMSQ($I$29:I34)/B34</f>
        <v>152226.43508201448</v>
      </c>
      <c r="M34" s="25">
        <f>SUM($J$29:J34)/B34</f>
        <v>278.25688426710576</v>
      </c>
      <c r="N34" s="25">
        <f t="shared" si="4"/>
        <v>11.036920128558299</v>
      </c>
      <c r="O34" s="25">
        <f>AVERAGE($N$29:N34)</f>
        <v>7.4001092584764274</v>
      </c>
      <c r="P34" s="41">
        <f>SUM($I$29:I34)/M34</f>
        <v>-2.9735921422778286</v>
      </c>
      <c r="R34" s="3" t="s">
        <v>13</v>
      </c>
      <c r="S34" s="3">
        <v>0.78774561553835964</v>
      </c>
    </row>
    <row r="35" spans="1:26" x14ac:dyDescent="0.2">
      <c r="A35" s="46" t="s">
        <v>5</v>
      </c>
      <c r="B35" s="13">
        <v>7</v>
      </c>
      <c r="C35" s="78">
        <v>3459</v>
      </c>
      <c r="D35" s="15">
        <f t="shared" si="5"/>
        <v>5148.75</v>
      </c>
      <c r="E35" s="15">
        <f t="shared" si="0"/>
        <v>5244.0233455882371</v>
      </c>
      <c r="F35" s="17">
        <f t="shared" si="1"/>
        <v>0.65960804749468449</v>
      </c>
      <c r="G35" s="25">
        <f>($S$46+B35*$S$47)*$S$55</f>
        <v>2971.1314637890791</v>
      </c>
      <c r="H35" s="34"/>
      <c r="I35" s="25">
        <f t="shared" si="2"/>
        <v>-487.86853621092087</v>
      </c>
      <c r="J35" s="25">
        <f t="shared" si="3"/>
        <v>487.86853621092087</v>
      </c>
      <c r="K35" s="25">
        <f>SUM($I$29:I35)</f>
        <v>-1315.2910208022977</v>
      </c>
      <c r="L35" s="25">
        <f>SUMSQ($I$29:I35)/B35</f>
        <v>164482.0455880962</v>
      </c>
      <c r="M35" s="25">
        <f>SUM($J$29:J35)/B35</f>
        <v>308.20140597336507</v>
      </c>
      <c r="N35" s="25">
        <f t="shared" si="4"/>
        <v>14.104323105259347</v>
      </c>
      <c r="O35" s="25">
        <f>AVERAGE($N$29:N35)</f>
        <v>8.357854093731131</v>
      </c>
      <c r="P35" s="41">
        <f>SUM($I$29:I35)/M35</f>
        <v>-4.2676347197324782</v>
      </c>
      <c r="R35" s="3" t="s">
        <v>14</v>
      </c>
      <c r="S35" s="3">
        <v>0.77258458807681396</v>
      </c>
    </row>
    <row r="36" spans="1:26" x14ac:dyDescent="0.2">
      <c r="A36" s="46" t="s">
        <v>3</v>
      </c>
      <c r="B36" s="13">
        <v>8</v>
      </c>
      <c r="C36" s="78">
        <v>7056</v>
      </c>
      <c r="D36" s="15">
        <f t="shared" si="5"/>
        <v>4963.875</v>
      </c>
      <c r="E36" s="15">
        <f t="shared" si="0"/>
        <v>5557.1461397058829</v>
      </c>
      <c r="F36" s="17">
        <f t="shared" si="1"/>
        <v>1.2697164736382918</v>
      </c>
      <c r="G36" s="25">
        <f>($S$46+B36*$S$47)*$S$56</f>
        <v>8257.8659258447078</v>
      </c>
      <c r="H36" s="34"/>
      <c r="I36" s="25">
        <f t="shared" si="2"/>
        <v>1201.8659258447078</v>
      </c>
      <c r="J36" s="25">
        <f t="shared" si="3"/>
        <v>1201.8659258447078</v>
      </c>
      <c r="K36" s="25">
        <f>SUM($I$29:I36)</f>
        <v>-113.42509495758986</v>
      </c>
      <c r="L36" s="25">
        <f>SUMSQ($I$29:I36)/B36</f>
        <v>324482.0028529038</v>
      </c>
      <c r="M36" s="25">
        <f>SUM($J$29:J36)/B36</f>
        <v>419.90947095728291</v>
      </c>
      <c r="N36" s="25">
        <f t="shared" si="4"/>
        <v>17.033247248366042</v>
      </c>
      <c r="O36" s="25">
        <f>AVERAGE($N$29:N36)</f>
        <v>9.4422782380604939</v>
      </c>
      <c r="P36" s="41">
        <f>SUM($I$29:I36)/M36</f>
        <v>-0.27011797256920772</v>
      </c>
      <c r="R36" s="3" t="s">
        <v>15</v>
      </c>
      <c r="S36" s="3">
        <v>800.98698995985728</v>
      </c>
    </row>
    <row r="37" spans="1:26" ht="13.5" thickBot="1" x14ac:dyDescent="0.25">
      <c r="A37" s="46" t="s">
        <v>4</v>
      </c>
      <c r="B37" s="13">
        <v>9</v>
      </c>
      <c r="C37" s="78">
        <v>4120</v>
      </c>
      <c r="D37" s="15">
        <f t="shared" si="5"/>
        <v>4876.375</v>
      </c>
      <c r="E37" s="15">
        <f t="shared" si="0"/>
        <v>5870.2689338235305</v>
      </c>
      <c r="F37" s="17">
        <f t="shared" si="1"/>
        <v>0.7018417804099627</v>
      </c>
      <c r="G37" s="25">
        <f>($S$46+B37*$S$47)*$S$53</f>
        <v>4180.2452010183615</v>
      </c>
      <c r="H37" s="34"/>
      <c r="I37" s="25">
        <f t="shared" si="2"/>
        <v>60.245201018361513</v>
      </c>
      <c r="J37" s="25">
        <f t="shared" si="3"/>
        <v>60.245201018361513</v>
      </c>
      <c r="K37" s="25">
        <f>SUM($I$29:I37)</f>
        <v>-53.17989393922835</v>
      </c>
      <c r="L37" s="25">
        <f>SUMSQ($I$29:I37)/B37</f>
        <v>288831.72300766368</v>
      </c>
      <c r="M37" s="25">
        <f>SUM($J$29:J37)/B37</f>
        <v>379.94677429740273</v>
      </c>
      <c r="N37" s="25">
        <f t="shared" si="4"/>
        <v>1.4622621606398425</v>
      </c>
      <c r="O37" s="25">
        <f>AVERAGE($N$29:N37)</f>
        <v>8.555609785013754</v>
      </c>
      <c r="P37" s="41">
        <f>SUM($I$29:I37)/M37</f>
        <v>-0.13996669411806054</v>
      </c>
      <c r="R37" s="4" t="s">
        <v>16</v>
      </c>
      <c r="S37" s="4">
        <v>16</v>
      </c>
    </row>
    <row r="38" spans="1:26" x14ac:dyDescent="0.2">
      <c r="A38" s="46" t="s">
        <v>48</v>
      </c>
      <c r="B38" s="13">
        <v>10</v>
      </c>
      <c r="C38" s="78">
        <v>2766</v>
      </c>
      <c r="D38" s="15">
        <f t="shared" si="5"/>
        <v>6337.375</v>
      </c>
      <c r="E38" s="15">
        <f t="shared" si="0"/>
        <v>6183.3917279411762</v>
      </c>
      <c r="F38" s="17">
        <f t="shared" si="1"/>
        <v>0.44732731188631453</v>
      </c>
      <c r="G38" s="25">
        <f>($S$46+B38*$S$47)*$S$54</f>
        <v>2983.9400614114716</v>
      </c>
      <c r="H38" s="34"/>
      <c r="I38" s="25">
        <f t="shared" si="2"/>
        <v>217.94006141147156</v>
      </c>
      <c r="J38" s="25">
        <f t="shared" si="3"/>
        <v>217.94006141147156</v>
      </c>
      <c r="K38" s="25">
        <f>SUM($I$29:I38)</f>
        <v>164.76016747224321</v>
      </c>
      <c r="L38" s="25">
        <f>SUMSQ($I$29:I38)/B38</f>
        <v>264698.33774370089</v>
      </c>
      <c r="M38" s="25">
        <f>SUM($J$29:J38)/B38</f>
        <v>363.74610300880965</v>
      </c>
      <c r="N38" s="25">
        <f t="shared" si="4"/>
        <v>7.8792502317957895</v>
      </c>
      <c r="O38" s="25">
        <f>AVERAGE($N$29:N38)</f>
        <v>8.487973829691958</v>
      </c>
      <c r="P38" s="41">
        <f>SUM($I$29:I38)/M38</f>
        <v>0.4529537666778875</v>
      </c>
    </row>
    <row r="39" spans="1:26" ht="13.5" thickBot="1" x14ac:dyDescent="0.25">
      <c r="A39" s="46" t="s">
        <v>5</v>
      </c>
      <c r="B39" s="13">
        <v>11</v>
      </c>
      <c r="C39" s="78">
        <v>2556</v>
      </c>
      <c r="D39" s="15">
        <f t="shared" si="5"/>
        <v>5967.875</v>
      </c>
      <c r="E39" s="15">
        <f t="shared" si="0"/>
        <v>6496.5145220588238</v>
      </c>
      <c r="F39" s="17">
        <f t="shared" si="1"/>
        <v>0.39344174346430505</v>
      </c>
      <c r="G39" s="25">
        <f>($S$46+B39*$S$47)*$S$55</f>
        <v>3680.7613981524873</v>
      </c>
      <c r="H39" s="34"/>
      <c r="I39" s="25">
        <f t="shared" si="2"/>
        <v>1124.7613981524873</v>
      </c>
      <c r="J39" s="25">
        <f t="shared" si="3"/>
        <v>1124.7613981524873</v>
      </c>
      <c r="K39" s="25">
        <f>SUM($I$29:I39)</f>
        <v>1289.5215656247306</v>
      </c>
      <c r="L39" s="25">
        <f>SUMSQ($I$29:I39)/B39</f>
        <v>355642.87092826795</v>
      </c>
      <c r="M39" s="25">
        <f>SUM($J$29:J39)/B39</f>
        <v>432.92931165823489</v>
      </c>
      <c r="N39" s="25">
        <f t="shared" si="4"/>
        <v>44.004749536482294</v>
      </c>
      <c r="O39" s="25">
        <f>AVERAGE($N$29:N39)</f>
        <v>11.716771621218351</v>
      </c>
      <c r="P39" s="41">
        <f>SUM($I$29:I39)/M39</f>
        <v>2.9785961146532642</v>
      </c>
      <c r="R39" t="s">
        <v>17</v>
      </c>
    </row>
    <row r="40" spans="1:26" x14ac:dyDescent="0.2">
      <c r="A40" s="46" t="s">
        <v>3</v>
      </c>
      <c r="B40" s="13">
        <v>12</v>
      </c>
      <c r="C40" s="78">
        <v>8253</v>
      </c>
      <c r="D40" s="15">
        <f t="shared" si="5"/>
        <v>6064</v>
      </c>
      <c r="E40" s="15">
        <f t="shared" si="0"/>
        <v>6809.6373161764704</v>
      </c>
      <c r="F40" s="17">
        <f t="shared" si="1"/>
        <v>1.21195881906879</v>
      </c>
      <c r="G40" s="25">
        <f>($S$46+B40*$S$47)*$S$56</f>
        <v>10119.055815147318</v>
      </c>
      <c r="H40" s="34"/>
      <c r="I40" s="25">
        <f t="shared" si="2"/>
        <v>1866.0558151473178</v>
      </c>
      <c r="J40" s="25">
        <f t="shared" si="3"/>
        <v>1866.0558151473178</v>
      </c>
      <c r="K40" s="25">
        <f>SUM($I$29:I40)</f>
        <v>3155.5773807720484</v>
      </c>
      <c r="L40" s="25">
        <f>SUMSQ($I$29:I40)/B40</f>
        <v>616186.32378800574</v>
      </c>
      <c r="M40" s="25">
        <f>SUM($J$29:J40)/B40</f>
        <v>552.35652028232516</v>
      </c>
      <c r="N40" s="25">
        <f t="shared" si="4"/>
        <v>22.610636315852634</v>
      </c>
      <c r="O40" s="25">
        <f>AVERAGE($N$29:N40)</f>
        <v>12.624593679104542</v>
      </c>
      <c r="P40" s="41">
        <f>SUM($I$29:I40)/M40</f>
        <v>5.7129358754724988</v>
      </c>
      <c r="R40" s="5"/>
      <c r="S40" s="5" t="s">
        <v>21</v>
      </c>
      <c r="T40" s="5" t="s">
        <v>22</v>
      </c>
      <c r="U40" s="5" t="s">
        <v>23</v>
      </c>
      <c r="V40" s="5" t="s">
        <v>24</v>
      </c>
      <c r="W40" s="5" t="s">
        <v>25</v>
      </c>
    </row>
    <row r="41" spans="1:26" x14ac:dyDescent="0.2">
      <c r="A41" s="46" t="s">
        <v>4</v>
      </c>
      <c r="B41" s="13">
        <v>13</v>
      </c>
      <c r="C41" s="78">
        <v>5491</v>
      </c>
      <c r="D41" s="15">
        <f t="shared" si="5"/>
        <v>6469.125</v>
      </c>
      <c r="E41" s="15">
        <f t="shared" si="0"/>
        <v>7122.7601102941171</v>
      </c>
      <c r="F41" s="17">
        <f t="shared" si="1"/>
        <v>0.77090901770848241</v>
      </c>
      <c r="G41" s="25">
        <f>($S$46+B41*$S$47)*$S$53</f>
        <v>5072.1498631014983</v>
      </c>
      <c r="H41" s="34"/>
      <c r="I41" s="25">
        <f t="shared" si="2"/>
        <v>-418.85013689850166</v>
      </c>
      <c r="J41" s="25">
        <f t="shared" si="3"/>
        <v>418.85013689850166</v>
      </c>
      <c r="K41" s="25">
        <f>SUM($I$29:I41)</f>
        <v>2736.7272438735467</v>
      </c>
      <c r="L41" s="25">
        <f>SUMSQ($I$29:I41)/B41</f>
        <v>582282.40943353553</v>
      </c>
      <c r="M41" s="25">
        <f>SUM($J$29:J41)/B41</f>
        <v>542.08679848356951</v>
      </c>
      <c r="N41" s="25">
        <f t="shared" si="4"/>
        <v>7.6279391167091912</v>
      </c>
      <c r="O41" s="25">
        <f>AVERAGE($N$29:N41)</f>
        <v>12.240235635843362</v>
      </c>
      <c r="P41" s="41">
        <f>SUM($I$29:I41)/M41</f>
        <v>5.0485037664249557</v>
      </c>
      <c r="R41" s="3" t="s">
        <v>18</v>
      </c>
      <c r="S41" s="3">
        <v>1</v>
      </c>
      <c r="T41" s="3">
        <v>33335600.626654416</v>
      </c>
      <c r="U41" s="3">
        <v>33335600.626654416</v>
      </c>
      <c r="V41" s="3">
        <v>51.958590374985384</v>
      </c>
      <c r="W41" s="3">
        <v>4.5068000364301618E-6</v>
      </c>
    </row>
    <row r="42" spans="1:26" x14ac:dyDescent="0.2">
      <c r="A42" s="46" t="s">
        <v>48</v>
      </c>
      <c r="B42" s="13">
        <v>14</v>
      </c>
      <c r="C42" s="78">
        <v>4382</v>
      </c>
      <c r="D42" s="15">
        <f t="shared" si="5"/>
        <v>9091.75</v>
      </c>
      <c r="E42" s="15">
        <f t="shared" si="0"/>
        <v>7435.8829044117647</v>
      </c>
      <c r="F42" s="17">
        <f t="shared" si="1"/>
        <v>0.58930459991511253</v>
      </c>
      <c r="G42" s="25">
        <f>($S$46+B42*$S$47)*$S$54</f>
        <v>3588.3589244679392</v>
      </c>
      <c r="H42" s="34"/>
      <c r="I42" s="25">
        <f t="shared" si="2"/>
        <v>-793.64107553206077</v>
      </c>
      <c r="J42" s="25">
        <f t="shared" si="3"/>
        <v>793.64107553206077</v>
      </c>
      <c r="K42" s="25">
        <f>SUM($I$29:I42)</f>
        <v>1943.086168341486</v>
      </c>
      <c r="L42" s="25">
        <f>SUMSQ($I$29:I42)/B42</f>
        <v>585681.24852911767</v>
      </c>
      <c r="M42" s="25">
        <f>SUM($J$29:J42)/B42</f>
        <v>560.05496112989033</v>
      </c>
      <c r="N42" s="25">
        <f t="shared" si="4"/>
        <v>18.111389217984041</v>
      </c>
      <c r="O42" s="25">
        <f>AVERAGE($N$29:N42)</f>
        <v>12.65960374885341</v>
      </c>
      <c r="P42" s="41">
        <f>SUM($I$29:I42)/M42</f>
        <v>3.4694562198348908</v>
      </c>
      <c r="R42" s="3" t="s">
        <v>19</v>
      </c>
      <c r="S42" s="3">
        <v>14</v>
      </c>
      <c r="T42" s="3">
        <v>8982122.2131893355</v>
      </c>
      <c r="U42" s="3">
        <v>641580.15808495251</v>
      </c>
      <c r="V42" s="3"/>
      <c r="W42" s="3"/>
    </row>
    <row r="43" spans="1:26" ht="13.5" thickBot="1" x14ac:dyDescent="0.25">
      <c r="A43" s="46" t="s">
        <v>5</v>
      </c>
      <c r="B43" s="13">
        <v>15</v>
      </c>
      <c r="C43" s="78">
        <v>4315</v>
      </c>
      <c r="D43" s="15">
        <f t="shared" si="5"/>
        <v>7987.375</v>
      </c>
      <c r="E43" s="15">
        <f t="shared" si="0"/>
        <v>7749.0056985294104</v>
      </c>
      <c r="F43" s="17">
        <f t="shared" si="1"/>
        <v>0.55684563515276431</v>
      </c>
      <c r="G43" s="25">
        <f>($S$46+B43*$S$47)*$S$55</f>
        <v>4390.3913325158956</v>
      </c>
      <c r="H43" s="34"/>
      <c r="I43" s="25">
        <f t="shared" si="2"/>
        <v>75.391332515895556</v>
      </c>
      <c r="J43" s="25">
        <f t="shared" si="3"/>
        <v>75.391332515895556</v>
      </c>
      <c r="K43" s="25">
        <f>SUM($I$29:I43)</f>
        <v>2018.4775008573815</v>
      </c>
      <c r="L43" s="25">
        <f>SUMSQ($I$29:I43)/B43</f>
        <v>547014.75549507805</v>
      </c>
      <c r="M43" s="25">
        <f>SUM($J$29:J43)/B43</f>
        <v>527.74405255562408</v>
      </c>
      <c r="N43" s="25">
        <f t="shared" si="4"/>
        <v>1.7471919470659458</v>
      </c>
      <c r="O43" s="25">
        <f>AVERAGE($N$29:N43)</f>
        <v>11.932109628734246</v>
      </c>
      <c r="P43" s="41">
        <f>SUM($I$29:I43)/M43</f>
        <v>3.8247280875697496</v>
      </c>
      <c r="R43" s="4" t="s">
        <v>0</v>
      </c>
      <c r="S43" s="4">
        <v>15</v>
      </c>
      <c r="T43" s="4">
        <v>42317722.83984375</v>
      </c>
      <c r="U43" s="4"/>
      <c r="V43" s="4"/>
      <c r="W43" s="4"/>
    </row>
    <row r="44" spans="1:26" ht="13.5" thickBot="1" x14ac:dyDescent="0.25">
      <c r="A44" s="46" t="s">
        <v>3</v>
      </c>
      <c r="B44" s="13">
        <v>16</v>
      </c>
      <c r="C44" s="78">
        <v>12035</v>
      </c>
      <c r="D44" s="15">
        <f t="shared" si="5"/>
        <v>7433.25</v>
      </c>
      <c r="E44" s="15">
        <f t="shared" si="0"/>
        <v>8062.128492647058</v>
      </c>
      <c r="F44" s="17">
        <f t="shared" si="1"/>
        <v>1.4927819633458259</v>
      </c>
      <c r="G44" s="25">
        <f>($S$46+B44*$S$47)*$S$56</f>
        <v>11980.245704449926</v>
      </c>
      <c r="H44" s="34"/>
      <c r="I44" s="25">
        <f t="shared" si="2"/>
        <v>-54.754295550073948</v>
      </c>
      <c r="J44" s="25">
        <f t="shared" si="3"/>
        <v>54.754295550073948</v>
      </c>
      <c r="K44" s="25">
        <f>SUM($I$29:I44)</f>
        <v>1963.7232053073076</v>
      </c>
      <c r="L44" s="25">
        <f>SUMSQ($I$29:I44)/B44</f>
        <v>513013.71033170965</v>
      </c>
      <c r="M44" s="25">
        <f>SUM($J$29:J44)/B44</f>
        <v>498.18219274277715</v>
      </c>
      <c r="N44" s="25">
        <f t="shared" si="4"/>
        <v>0.45495883298773532</v>
      </c>
      <c r="O44" s="25">
        <f>AVERAGE($N$29:N44)</f>
        <v>11.214787704000088</v>
      </c>
      <c r="P44" s="41">
        <f>SUM($I$29:I44)/M44</f>
        <v>3.9417771929901613</v>
      </c>
    </row>
    <row r="45" spans="1:26" x14ac:dyDescent="0.2">
      <c r="A45" s="46" t="s">
        <v>4</v>
      </c>
      <c r="B45" s="13">
        <v>17</v>
      </c>
      <c r="C45" s="78">
        <v>5648</v>
      </c>
      <c r="D45" s="15">
        <f t="shared" si="5"/>
        <v>7700.25</v>
      </c>
      <c r="E45" s="15">
        <f t="shared" si="0"/>
        <v>8375.2512867647038</v>
      </c>
      <c r="F45" s="17">
        <f t="shared" si="1"/>
        <v>0.6743678257063711</v>
      </c>
      <c r="G45" s="25">
        <f>($S$46+B45*$S$47)*$S$53</f>
        <v>5964.0545251846352</v>
      </c>
      <c r="H45" s="34"/>
      <c r="I45" s="25">
        <f t="shared" si="2"/>
        <v>316.05452518463517</v>
      </c>
      <c r="J45" s="25">
        <f t="shared" si="3"/>
        <v>316.05452518463517</v>
      </c>
      <c r="K45" s="25">
        <f>SUM($I$29:I45)</f>
        <v>2279.7777304919427</v>
      </c>
      <c r="L45" s="25">
        <f>SUMSQ($I$29:I45)/B45</f>
        <v>488712.34283511998</v>
      </c>
      <c r="M45" s="25">
        <f>SUM($J$29:J45)/B45</f>
        <v>487.46880053347473</v>
      </c>
      <c r="N45" s="25">
        <f t="shared" si="4"/>
        <v>5.5958662391047307</v>
      </c>
      <c r="O45" s="25">
        <f>AVERAGE($N$29:N45)</f>
        <v>10.88426291194742</v>
      </c>
      <c r="P45" s="41">
        <f>SUM($I$29:I45)/M45</f>
        <v>4.6767664474054671</v>
      </c>
      <c r="R45" s="5"/>
      <c r="S45" s="5" t="s">
        <v>26</v>
      </c>
      <c r="T45" s="5" t="s">
        <v>15</v>
      </c>
      <c r="U45" s="5" t="s">
        <v>27</v>
      </c>
      <c r="V45" s="5" t="s">
        <v>28</v>
      </c>
      <c r="W45" s="5" t="s">
        <v>29</v>
      </c>
      <c r="X45" s="5" t="s">
        <v>30</v>
      </c>
      <c r="Y45" s="5" t="s">
        <v>31</v>
      </c>
      <c r="Z45" s="5" t="s">
        <v>32</v>
      </c>
    </row>
    <row r="46" spans="1:26" x14ac:dyDescent="0.2">
      <c r="A46" s="46" t="s">
        <v>48</v>
      </c>
      <c r="B46" s="13">
        <v>18</v>
      </c>
      <c r="C46" s="78">
        <v>3696</v>
      </c>
      <c r="D46" s="15">
        <f t="shared" si="5"/>
        <v>9962.5</v>
      </c>
      <c r="E46" s="15">
        <f t="shared" si="0"/>
        <v>8688.3740808823513</v>
      </c>
      <c r="F46" s="17">
        <f t="shared" si="1"/>
        <v>0.42539604828164251</v>
      </c>
      <c r="G46" s="25">
        <f>($S$46+B46*$S$47)*$S$54</f>
        <v>4192.7777875244064</v>
      </c>
      <c r="H46" s="34"/>
      <c r="I46" s="25">
        <f t="shared" si="2"/>
        <v>496.77778752440645</v>
      </c>
      <c r="J46" s="25">
        <f t="shared" si="3"/>
        <v>496.77778752440645</v>
      </c>
      <c r="K46" s="25">
        <f>SUM($I$29:I46)</f>
        <v>2776.5555180163492</v>
      </c>
      <c r="L46" s="25">
        <f>SUMSQ($I$29:I46)/B46</f>
        <v>475272.11102081579</v>
      </c>
      <c r="M46" s="25">
        <f>SUM($J$29:J46)/B46</f>
        <v>487.98596647741539</v>
      </c>
      <c r="N46" s="25">
        <f t="shared" si="4"/>
        <v>13.440957454664677</v>
      </c>
      <c r="O46" s="25">
        <f>AVERAGE($N$29:N46)</f>
        <v>11.026301497653934</v>
      </c>
      <c r="P46" s="41">
        <f>SUM($I$29:I46)/M46</f>
        <v>5.6898265703402187</v>
      </c>
      <c r="R46" s="3" t="s">
        <v>20</v>
      </c>
      <c r="S46" s="83">
        <v>3052.1637867647091</v>
      </c>
      <c r="T46" s="3">
        <v>498.13709071065989</v>
      </c>
      <c r="U46" s="3">
        <v>6.1271562461056348</v>
      </c>
      <c r="V46" s="3">
        <v>2.6185564368461436E-5</v>
      </c>
      <c r="W46" s="3">
        <v>1983.7650355556736</v>
      </c>
      <c r="X46" s="3">
        <v>4120.5625379737448</v>
      </c>
      <c r="Y46" s="3">
        <v>1983.7650355556736</v>
      </c>
      <c r="Z46" s="3">
        <v>4120.5625379737448</v>
      </c>
    </row>
    <row r="47" spans="1:26" ht="13.5" thickBot="1" x14ac:dyDescent="0.25">
      <c r="A47" s="46" t="s">
        <v>5</v>
      </c>
      <c r="B47" s="13">
        <v>19</v>
      </c>
      <c r="C47" s="78">
        <v>4843</v>
      </c>
      <c r="D47" s="15"/>
      <c r="E47" s="15">
        <f t="shared" si="0"/>
        <v>9001.4968749999971</v>
      </c>
      <c r="F47" s="17">
        <f t="shared" si="1"/>
        <v>0.53802162765290096</v>
      </c>
      <c r="G47" s="25">
        <f>($S$46+B47*$S$47)*$S$55</f>
        <v>5100.0212668793029</v>
      </c>
      <c r="H47" s="34"/>
      <c r="I47" s="25">
        <f t="shared" si="2"/>
        <v>257.02126687930286</v>
      </c>
      <c r="J47" s="25">
        <f t="shared" si="3"/>
        <v>257.02126687930286</v>
      </c>
      <c r="K47" s="25">
        <f>SUM($I$29:I47)</f>
        <v>3033.5767848956521</v>
      </c>
      <c r="L47" s="25">
        <f>SUMSQ($I$29:I47)/B47</f>
        <v>453734.62789489084</v>
      </c>
      <c r="M47" s="25">
        <f>SUM($J$29:J47)/B47</f>
        <v>475.82992965646207</v>
      </c>
      <c r="N47" s="25">
        <f t="shared" si="4"/>
        <v>5.3070672492112916</v>
      </c>
      <c r="O47" s="25">
        <f>AVERAGE($N$29:N47)</f>
        <v>10.725289168788532</v>
      </c>
      <c r="P47" s="41">
        <f>SUM($I$29:I47)/M47</f>
        <v>6.3753383211640822</v>
      </c>
      <c r="R47" s="4" t="s">
        <v>33</v>
      </c>
      <c r="S47" s="84">
        <v>313.12279411764678</v>
      </c>
      <c r="T47" s="4">
        <v>43.439618609694797</v>
      </c>
      <c r="U47" s="4">
        <v>7.2082307381898705</v>
      </c>
      <c r="V47" s="4">
        <v>4.5068000364302304E-6</v>
      </c>
      <c r="W47" s="4">
        <v>219.95399552571021</v>
      </c>
      <c r="X47" s="4">
        <v>406.29159270958337</v>
      </c>
      <c r="Y47" s="4">
        <v>219.95399552571021</v>
      </c>
      <c r="Z47" s="4">
        <v>406.29159270958337</v>
      </c>
    </row>
    <row r="48" spans="1:26" ht="13.5" thickBot="1" x14ac:dyDescent="0.25">
      <c r="A48" s="46" t="s">
        <v>3</v>
      </c>
      <c r="B48" s="13">
        <v>20</v>
      </c>
      <c r="C48" s="79">
        <v>13097</v>
      </c>
      <c r="D48" s="16"/>
      <c r="E48" s="16">
        <f t="shared" si="0"/>
        <v>9314.6196691176447</v>
      </c>
      <c r="F48" s="18">
        <f t="shared" si="1"/>
        <v>1.4060692186308723</v>
      </c>
      <c r="G48" s="26">
        <f>($S$46+B48*$S$47)*$S$56</f>
        <v>13841.435593752534</v>
      </c>
      <c r="H48" s="34"/>
      <c r="I48" s="26">
        <f t="shared" si="2"/>
        <v>744.43559375253426</v>
      </c>
      <c r="J48" s="26">
        <f t="shared" si="3"/>
        <v>744.43559375253426</v>
      </c>
      <c r="K48" s="26">
        <f>SUM($I$29:I48)</f>
        <v>3778.0123786481863</v>
      </c>
      <c r="L48" s="26">
        <f>SUMSQ($I$29:I48)/B48</f>
        <v>458757.11416243075</v>
      </c>
      <c r="M48" s="25">
        <f>SUM($J$29:J48)/B48</f>
        <v>489.2602128612657</v>
      </c>
      <c r="N48" s="26">
        <f t="shared" si="4"/>
        <v>5.6840161392115309</v>
      </c>
      <c r="O48" s="26">
        <f>AVERAGE($N$29:N48)</f>
        <v>10.473225517309682</v>
      </c>
      <c r="P48" s="42">
        <f>SUM($I$29:I48)/M48</f>
        <v>7.7218876159044569</v>
      </c>
    </row>
    <row r="49" spans="1:19" ht="13.5" thickBot="1" x14ac:dyDescent="0.25">
      <c r="A49" s="45" t="s">
        <v>4</v>
      </c>
      <c r="B49" s="58">
        <v>21</v>
      </c>
      <c r="C49" s="52"/>
      <c r="D49" s="53"/>
      <c r="E49" s="53"/>
      <c r="F49" s="54"/>
      <c r="G49" s="27">
        <f>($S$46+B49*$S$47)*$S$53</f>
        <v>6855.9591872677729</v>
      </c>
      <c r="H49" s="34"/>
      <c r="I49" s="34"/>
      <c r="J49" s="34"/>
      <c r="K49" s="34"/>
      <c r="L49" s="74" t="s">
        <v>62</v>
      </c>
      <c r="M49" s="75">
        <f>1.25*M48</f>
        <v>611.57526607658212</v>
      </c>
      <c r="O49" s="34"/>
      <c r="P49" s="35"/>
    </row>
    <row r="50" spans="1:19" x14ac:dyDescent="0.2">
      <c r="A50" s="46" t="s">
        <v>48</v>
      </c>
      <c r="B50" s="13">
        <v>22</v>
      </c>
      <c r="C50" s="52"/>
      <c r="D50" s="53"/>
      <c r="E50" s="53"/>
      <c r="F50" s="54"/>
      <c r="G50" s="28">
        <f>($S$46+B50*$S$47)*$S$54</f>
        <v>4797.1966505808732</v>
      </c>
      <c r="H50" s="34"/>
      <c r="I50" s="34"/>
      <c r="J50" s="34"/>
      <c r="K50" s="34"/>
      <c r="L50" s="34"/>
      <c r="M50" s="34"/>
      <c r="N50" s="34"/>
      <c r="O50" s="34"/>
      <c r="P50" s="35"/>
    </row>
    <row r="51" spans="1:19" x14ac:dyDescent="0.2">
      <c r="A51" s="46" t="s">
        <v>5</v>
      </c>
      <c r="B51" s="13">
        <v>23</v>
      </c>
      <c r="C51" s="52"/>
      <c r="D51" s="53"/>
      <c r="E51" s="53"/>
      <c r="F51" s="54"/>
      <c r="G51" s="28">
        <f>($S$46+B51*$S$47)*$S$55</f>
        <v>5809.651201242712</v>
      </c>
      <c r="H51" s="34"/>
      <c r="I51" s="34"/>
      <c r="J51" s="34"/>
      <c r="K51" s="34"/>
      <c r="L51" s="34"/>
      <c r="M51" s="34"/>
      <c r="N51" s="34"/>
      <c r="O51" s="34"/>
      <c r="P51" s="35"/>
      <c r="R51" s="86" t="s">
        <v>35</v>
      </c>
      <c r="S51" s="10"/>
    </row>
    <row r="52" spans="1:19" x14ac:dyDescent="0.2">
      <c r="A52" s="46" t="s">
        <v>3</v>
      </c>
      <c r="B52" s="13">
        <v>24</v>
      </c>
      <c r="C52" s="52"/>
      <c r="D52" s="53"/>
      <c r="E52" s="53"/>
      <c r="F52" s="54"/>
      <c r="G52" s="28">
        <f>($S$46+B52*$S$47)*$S$56</f>
        <v>15702.625483055142</v>
      </c>
      <c r="H52" s="34"/>
      <c r="I52" s="34"/>
      <c r="J52" s="34"/>
      <c r="K52" s="34"/>
      <c r="L52" s="34"/>
      <c r="M52" s="34"/>
      <c r="N52" s="34"/>
      <c r="O52" s="34"/>
      <c r="P52" s="35"/>
      <c r="R52" s="11" t="s">
        <v>2</v>
      </c>
      <c r="S52" s="10" t="s">
        <v>0</v>
      </c>
    </row>
    <row r="53" spans="1:19" x14ac:dyDescent="0.2">
      <c r="A53" s="46" t="s">
        <v>4</v>
      </c>
      <c r="B53" s="13">
        <v>25</v>
      </c>
      <c r="C53" s="52"/>
      <c r="D53" s="53"/>
      <c r="E53" s="53"/>
      <c r="F53" s="54"/>
      <c r="G53" s="27">
        <f t="shared" ref="G53:G60" si="6">($S$46+B53*$S$47)*$S$53</f>
        <v>7747.8638493509097</v>
      </c>
      <c r="H53" s="34"/>
      <c r="I53" s="34"/>
      <c r="J53" s="34"/>
      <c r="K53" s="34"/>
      <c r="L53" s="34"/>
      <c r="M53" s="34"/>
      <c r="N53" s="34"/>
      <c r="O53" s="34"/>
      <c r="P53" s="35"/>
      <c r="R53" s="9" t="s">
        <v>4</v>
      </c>
      <c r="S53" s="20">
        <v>0.71210454719245853</v>
      </c>
    </row>
    <row r="54" spans="1:19" x14ac:dyDescent="0.2">
      <c r="A54" s="46" t="s">
        <v>48</v>
      </c>
      <c r="B54" s="13">
        <v>26</v>
      </c>
      <c r="C54" s="52"/>
      <c r="D54" s="53"/>
      <c r="E54" s="53"/>
      <c r="F54" s="54"/>
      <c r="G54" s="28">
        <f t="shared" si="6"/>
        <v>7970.8400148716937</v>
      </c>
      <c r="H54" s="34"/>
      <c r="I54" s="34"/>
      <c r="J54" s="34"/>
      <c r="K54" s="34"/>
      <c r="L54" s="34"/>
      <c r="M54" s="34"/>
      <c r="N54" s="34"/>
      <c r="O54" s="34"/>
      <c r="P54" s="35"/>
      <c r="R54" s="12" t="s">
        <v>48</v>
      </c>
      <c r="S54" s="21">
        <v>0.48257335014500286</v>
      </c>
    </row>
    <row r="55" spans="1:19" x14ac:dyDescent="0.2">
      <c r="A55" s="46" t="s">
        <v>5</v>
      </c>
      <c r="B55" s="13">
        <v>27</v>
      </c>
      <c r="C55" s="52"/>
      <c r="D55" s="53"/>
      <c r="E55" s="53"/>
      <c r="F55" s="54"/>
      <c r="G55" s="28">
        <f t="shared" si="6"/>
        <v>8193.8161803924777</v>
      </c>
      <c r="H55" s="34"/>
      <c r="I55" s="34"/>
      <c r="J55" s="34"/>
      <c r="K55" s="34"/>
      <c r="L55" s="34"/>
      <c r="M55" s="34"/>
      <c r="N55" s="34"/>
      <c r="O55" s="34"/>
      <c r="P55" s="35"/>
      <c r="R55" s="12" t="s">
        <v>5</v>
      </c>
      <c r="S55" s="21">
        <v>0.56657479724774162</v>
      </c>
    </row>
    <row r="56" spans="1:19" x14ac:dyDescent="0.2">
      <c r="A56" s="46" t="s">
        <v>3</v>
      </c>
      <c r="B56" s="13">
        <v>28</v>
      </c>
      <c r="C56" s="52"/>
      <c r="D56" s="53"/>
      <c r="E56" s="53"/>
      <c r="F56" s="54"/>
      <c r="G56" s="28">
        <f t="shared" si="6"/>
        <v>8416.7923459132635</v>
      </c>
      <c r="H56" s="34"/>
      <c r="I56" s="34"/>
      <c r="J56" s="34"/>
      <c r="K56" s="34"/>
      <c r="L56" s="34"/>
      <c r="M56" s="34"/>
      <c r="N56" s="34"/>
      <c r="O56" s="34"/>
      <c r="P56" s="35"/>
      <c r="R56" s="19" t="s">
        <v>3</v>
      </c>
      <c r="S56" s="22">
        <v>1.4859904199463365</v>
      </c>
    </row>
    <row r="57" spans="1:19" x14ac:dyDescent="0.2">
      <c r="A57" s="46" t="s">
        <v>4</v>
      </c>
      <c r="B57" s="13">
        <v>29</v>
      </c>
      <c r="C57" s="52"/>
      <c r="D57" s="53"/>
      <c r="E57" s="53"/>
      <c r="F57" s="54"/>
      <c r="G57" s="27">
        <f t="shared" si="6"/>
        <v>8639.7685114340475</v>
      </c>
      <c r="H57" s="34"/>
      <c r="I57" s="34"/>
      <c r="J57" s="34"/>
      <c r="K57" s="34"/>
      <c r="L57" s="34"/>
      <c r="M57" s="34"/>
      <c r="N57" s="34"/>
      <c r="O57" s="34"/>
      <c r="P57" s="35"/>
      <c r="R57" s="55"/>
      <c r="S57" s="67"/>
    </row>
    <row r="58" spans="1:19" x14ac:dyDescent="0.2">
      <c r="A58" s="46" t="s">
        <v>48</v>
      </c>
      <c r="B58" s="13">
        <v>30</v>
      </c>
      <c r="C58" s="52"/>
      <c r="D58" s="53"/>
      <c r="E58" s="53"/>
      <c r="F58" s="54"/>
      <c r="G58" s="28">
        <f t="shared" si="6"/>
        <v>8862.7446769548314</v>
      </c>
      <c r="H58" s="34"/>
      <c r="I58" s="34"/>
      <c r="J58" s="34"/>
      <c r="K58" s="34"/>
      <c r="L58" s="34"/>
      <c r="M58" s="34"/>
      <c r="N58" s="34"/>
      <c r="O58" s="34"/>
      <c r="P58" s="35"/>
      <c r="R58" s="55"/>
      <c r="S58" s="67"/>
    </row>
    <row r="59" spans="1:19" x14ac:dyDescent="0.2">
      <c r="A59" s="46" t="s">
        <v>5</v>
      </c>
      <c r="B59" s="13">
        <v>31</v>
      </c>
      <c r="C59" s="52"/>
      <c r="D59" s="53"/>
      <c r="E59" s="53"/>
      <c r="F59" s="54"/>
      <c r="G59" s="28">
        <f t="shared" si="6"/>
        <v>9085.7208424756154</v>
      </c>
      <c r="H59" s="34"/>
      <c r="I59" s="34"/>
      <c r="J59" s="34"/>
      <c r="K59" s="34"/>
      <c r="L59" s="34"/>
      <c r="M59" s="34"/>
      <c r="N59" s="34"/>
      <c r="O59" s="34"/>
      <c r="P59" s="35"/>
      <c r="R59" s="55"/>
      <c r="S59" s="67"/>
    </row>
    <row r="60" spans="1:19" x14ac:dyDescent="0.2">
      <c r="A60" s="47" t="s">
        <v>3</v>
      </c>
      <c r="B60" s="14">
        <v>32</v>
      </c>
      <c r="C60" s="52"/>
      <c r="D60" s="53"/>
      <c r="E60" s="53"/>
      <c r="F60" s="54"/>
      <c r="G60" s="29">
        <f t="shared" si="6"/>
        <v>9308.6970079963994</v>
      </c>
      <c r="H60" s="34"/>
      <c r="I60" s="34"/>
      <c r="J60" s="34"/>
      <c r="K60" s="34"/>
      <c r="L60" s="34"/>
      <c r="M60" s="34"/>
      <c r="N60" s="34"/>
      <c r="O60" s="34"/>
      <c r="P60" s="35"/>
      <c r="R60" s="55"/>
      <c r="S60" s="67"/>
    </row>
    <row r="61" spans="1:19" x14ac:dyDescent="0.2">
      <c r="A61" s="1"/>
      <c r="B61" s="52"/>
      <c r="C61" s="52"/>
      <c r="D61" s="53"/>
      <c r="E61" s="53"/>
      <c r="F61" s="54"/>
      <c r="G61" s="34"/>
      <c r="H61" s="34"/>
      <c r="I61" s="34"/>
      <c r="J61" s="34"/>
      <c r="K61" s="34"/>
      <c r="L61" s="34"/>
      <c r="M61" s="34"/>
      <c r="N61" s="34"/>
      <c r="O61" s="34"/>
      <c r="P61" s="35"/>
    </row>
    <row r="62" spans="1:19" x14ac:dyDescent="0.2">
      <c r="A62" s="1"/>
      <c r="B62" s="52"/>
      <c r="C62" s="52"/>
      <c r="D62" s="53"/>
      <c r="E62" s="53"/>
      <c r="F62" s="54"/>
      <c r="G62" s="34"/>
      <c r="H62" s="34"/>
      <c r="I62" s="34"/>
      <c r="J62" s="34"/>
      <c r="K62" s="34"/>
      <c r="L62" s="34"/>
      <c r="M62" s="34"/>
      <c r="N62" s="34"/>
      <c r="O62" s="34"/>
      <c r="P62" s="35"/>
    </row>
    <row r="63" spans="1:19" ht="15.75" x14ac:dyDescent="0.25">
      <c r="A63" s="59" t="s">
        <v>52</v>
      </c>
      <c r="B63" s="51"/>
      <c r="F63" s="2"/>
      <c r="O63"/>
      <c r="P63" s="39"/>
    </row>
    <row r="64" spans="1:19" s="31" customFormat="1" ht="45.75" customHeight="1" x14ac:dyDescent="0.3">
      <c r="A64" s="30" t="s">
        <v>2</v>
      </c>
      <c r="B64" s="30" t="s">
        <v>6</v>
      </c>
      <c r="C64" s="30" t="s">
        <v>7</v>
      </c>
      <c r="D64" s="30" t="s">
        <v>36</v>
      </c>
      <c r="E64" s="30" t="s">
        <v>37</v>
      </c>
      <c r="F64" s="30" t="s">
        <v>8</v>
      </c>
      <c r="G64" s="32" t="s">
        <v>9</v>
      </c>
      <c r="H64" s="33"/>
      <c r="I64" s="30" t="s">
        <v>38</v>
      </c>
      <c r="J64" s="30" t="s">
        <v>39</v>
      </c>
      <c r="K64" s="30" t="s">
        <v>43</v>
      </c>
      <c r="L64" s="30" t="s">
        <v>40</v>
      </c>
      <c r="M64" s="30" t="s">
        <v>41</v>
      </c>
      <c r="N64" s="30" t="s">
        <v>45</v>
      </c>
      <c r="O64" s="30" t="s">
        <v>42</v>
      </c>
      <c r="P64" s="40" t="s">
        <v>44</v>
      </c>
      <c r="R64" s="8" t="s">
        <v>68</v>
      </c>
    </row>
    <row r="65" spans="1:23" x14ac:dyDescent="0.2">
      <c r="A65" s="46" t="s">
        <v>4</v>
      </c>
      <c r="B65" s="13">
        <v>1</v>
      </c>
      <c r="C65" s="78">
        <v>3200</v>
      </c>
      <c r="D65" s="15"/>
      <c r="E65" s="60">
        <f t="shared" ref="E65:E84" si="7">$S$82+B65*$S$83</f>
        <v>3875.9191176470631</v>
      </c>
      <c r="F65" s="17">
        <f t="shared" ref="F65:F84" si="8">C65/E65</f>
        <v>0.82561062366611249</v>
      </c>
      <c r="G65" s="25">
        <f>($S$82+B65*$S$83)*$S$89</f>
        <v>2951.6420169785938</v>
      </c>
      <c r="H65" s="34"/>
      <c r="I65" s="25">
        <f t="shared" ref="I65:I84" si="9">G65-C65</f>
        <v>-248.3579830214062</v>
      </c>
      <c r="J65" s="25">
        <f t="shared" ref="J65:J84" si="10">ABS(I65)</f>
        <v>248.3579830214062</v>
      </c>
      <c r="K65" s="72">
        <f>SUM($I$65:I65)</f>
        <v>-248.3579830214062</v>
      </c>
      <c r="L65" s="72">
        <f>SUMSQ($I$65:I65)/B65</f>
        <v>61681.68773046109</v>
      </c>
      <c r="M65" s="72">
        <f>SUM($J$65:J65)/B65</f>
        <v>248.3579830214062</v>
      </c>
      <c r="N65" s="72">
        <f t="shared" ref="N65:N84" si="11">J65/C65*100</f>
        <v>7.7611869694189446</v>
      </c>
      <c r="O65" s="72">
        <f>AVERAGE($N$65:N65)</f>
        <v>7.7611869694189446</v>
      </c>
      <c r="P65" s="73">
        <f>SUM($I$65:I65)/M65</f>
        <v>-1</v>
      </c>
    </row>
    <row r="66" spans="1:23" x14ac:dyDescent="0.2">
      <c r="A66" s="46" t="s">
        <v>48</v>
      </c>
      <c r="B66" s="13">
        <v>2</v>
      </c>
      <c r="C66" s="78">
        <v>7658</v>
      </c>
      <c r="D66" s="15"/>
      <c r="E66" s="15">
        <f t="shared" si="7"/>
        <v>4139.8593750000036</v>
      </c>
      <c r="F66" s="17">
        <f t="shared" si="8"/>
        <v>1.8498212877098013</v>
      </c>
      <c r="G66" s="25">
        <f>($S$82+B66*$S$83)*$S$90</f>
        <v>7862.4803907595133</v>
      </c>
      <c r="H66" s="34"/>
      <c r="I66" s="25">
        <f t="shared" si="9"/>
        <v>204.48039075951328</v>
      </c>
      <c r="J66" s="25">
        <f t="shared" si="10"/>
        <v>204.48039075951328</v>
      </c>
      <c r="K66" s="25">
        <f>SUM($I$65:I66)</f>
        <v>-43.877592261892914</v>
      </c>
      <c r="L66" s="25">
        <f>SUMSQ($I$65:I66)/B66</f>
        <v>51746.95896781217</v>
      </c>
      <c r="M66" s="25">
        <f>SUM($J$65:J66)/B66</f>
        <v>226.41918689045974</v>
      </c>
      <c r="N66" s="25">
        <f t="shared" si="11"/>
        <v>2.6701539665645506</v>
      </c>
      <c r="O66" s="25">
        <f>AVERAGE($N$65:N66)</f>
        <v>5.2156704679917478</v>
      </c>
      <c r="P66" s="41">
        <f>SUM($I$65:I66)/M66</f>
        <v>-0.19378919633308564</v>
      </c>
      <c r="R66" t="s">
        <v>10</v>
      </c>
    </row>
    <row r="67" spans="1:23" ht="13.5" thickBot="1" x14ac:dyDescent="0.25">
      <c r="A67" s="46" t="s">
        <v>5</v>
      </c>
      <c r="B67" s="13">
        <v>3</v>
      </c>
      <c r="C67" s="78">
        <v>4420</v>
      </c>
      <c r="D67" s="15">
        <f t="shared" ref="D67:D82" si="12">(C65+C69+2*SUM(C66:C68))/(2*4)</f>
        <v>4472.25</v>
      </c>
      <c r="E67" s="15">
        <f t="shared" si="7"/>
        <v>4403.7996323529442</v>
      </c>
      <c r="F67" s="17">
        <f t="shared" si="8"/>
        <v>1.0036787249646959</v>
      </c>
      <c r="G67" s="25">
        <f>($S$82+B67*$S$83)*$S$91</f>
        <v>4174.9902084431469</v>
      </c>
      <c r="H67" s="34"/>
      <c r="I67" s="25">
        <f t="shared" si="9"/>
        <v>-245.00979155685309</v>
      </c>
      <c r="J67" s="25">
        <f t="shared" si="10"/>
        <v>245.00979155685309</v>
      </c>
      <c r="K67" s="25">
        <f>SUM($I$65:I67)</f>
        <v>-288.887383818746</v>
      </c>
      <c r="L67" s="25">
        <f>SUMSQ($I$65:I67)/B67</f>
        <v>54507.905298118982</v>
      </c>
      <c r="M67" s="25">
        <f>SUM($J$65:J67)/B67</f>
        <v>232.61605511259086</v>
      </c>
      <c r="N67" s="25">
        <f t="shared" si="11"/>
        <v>5.5432079537749566</v>
      </c>
      <c r="O67" s="25">
        <f>AVERAGE($N$65:N67)</f>
        <v>5.3248496299194841</v>
      </c>
      <c r="P67" s="41">
        <f>SUM($I$65:I67)/M67</f>
        <v>-1.2419064697787894</v>
      </c>
    </row>
    <row r="68" spans="1:23" x14ac:dyDescent="0.2">
      <c r="A68" s="46" t="s">
        <v>3</v>
      </c>
      <c r="B68" s="13">
        <v>4</v>
      </c>
      <c r="C68" s="78">
        <v>2384</v>
      </c>
      <c r="D68" s="15">
        <f t="shared" si="12"/>
        <v>4656.75</v>
      </c>
      <c r="E68" s="15">
        <f t="shared" si="7"/>
        <v>4667.7398897058856</v>
      </c>
      <c r="F68" s="17">
        <f t="shared" si="8"/>
        <v>0.51073968480069176</v>
      </c>
      <c r="G68" s="25">
        <f>($S$82+B68*$S$83)*$S$92</f>
        <v>1935.677962635295</v>
      </c>
      <c r="H68" s="34"/>
      <c r="I68" s="25">
        <f t="shared" si="9"/>
        <v>-448.32203736470501</v>
      </c>
      <c r="J68" s="25">
        <f t="shared" si="10"/>
        <v>448.32203736470501</v>
      </c>
      <c r="K68" s="25">
        <f>SUM($I$65:I68)</f>
        <v>-737.20942118345101</v>
      </c>
      <c r="L68" s="25">
        <f>SUMSQ($I$65:I68)/B68</f>
        <v>91129.091270299221</v>
      </c>
      <c r="M68" s="25">
        <f>SUM($J$65:J68)/B68</f>
        <v>286.5425506756194</v>
      </c>
      <c r="N68" s="25">
        <f t="shared" si="11"/>
        <v>18.805454587445681</v>
      </c>
      <c r="O68" s="25">
        <f>AVERAGE($N$65:N68)</f>
        <v>8.6950008693010332</v>
      </c>
      <c r="P68" s="41">
        <f>SUM($I$65:I68)/M68</f>
        <v>-2.5727746871982347</v>
      </c>
      <c r="R68" s="6" t="s">
        <v>11</v>
      </c>
      <c r="S68" s="6"/>
    </row>
    <row r="69" spans="1:23" x14ac:dyDescent="0.2">
      <c r="A69" s="46" t="s">
        <v>4</v>
      </c>
      <c r="B69" s="13">
        <v>5</v>
      </c>
      <c r="C69" s="78">
        <v>3654</v>
      </c>
      <c r="D69" s="15">
        <f t="shared" si="12"/>
        <v>4943.875</v>
      </c>
      <c r="E69" s="15">
        <f t="shared" si="7"/>
        <v>4931.6801470588262</v>
      </c>
      <c r="F69" s="17">
        <f t="shared" si="8"/>
        <v>0.74092396324185505</v>
      </c>
      <c r="G69" s="25">
        <f>($S$82+B69*$S$83)*$S$89</f>
        <v>3755.6393450219325</v>
      </c>
      <c r="H69" s="34"/>
      <c r="I69" s="25">
        <f t="shared" si="9"/>
        <v>101.63934502193251</v>
      </c>
      <c r="J69" s="25">
        <f t="shared" si="10"/>
        <v>101.63934502193251</v>
      </c>
      <c r="K69" s="25">
        <f>SUM($I$65:I69)</f>
        <v>-635.5700761615185</v>
      </c>
      <c r="L69" s="25">
        <f>SUMSQ($I$65:I69)/B69</f>
        <v>74969.384307536864</v>
      </c>
      <c r="M69" s="25">
        <f>SUM($J$65:J69)/B69</f>
        <v>249.56190954488201</v>
      </c>
      <c r="N69" s="25">
        <f t="shared" si="11"/>
        <v>2.7815912704415027</v>
      </c>
      <c r="O69" s="25">
        <f>AVERAGE($N$65:N69)</f>
        <v>7.5123189495291269</v>
      </c>
      <c r="P69" s="41">
        <f>SUM($I$65:I69)/M69</f>
        <v>-2.5467431200562101</v>
      </c>
      <c r="R69" s="3" t="s">
        <v>12</v>
      </c>
      <c r="S69" s="3">
        <v>0.93104861399932304</v>
      </c>
    </row>
    <row r="70" spans="1:23" x14ac:dyDescent="0.2">
      <c r="A70" s="46" t="s">
        <v>48</v>
      </c>
      <c r="B70" s="13">
        <v>6</v>
      </c>
      <c r="C70" s="78">
        <v>8680</v>
      </c>
      <c r="D70" s="15">
        <f t="shared" si="12"/>
        <v>5049.375</v>
      </c>
      <c r="E70" s="15">
        <f t="shared" si="7"/>
        <v>5195.6204044117676</v>
      </c>
      <c r="F70" s="17">
        <f t="shared" si="8"/>
        <v>1.6706378303983744</v>
      </c>
      <c r="G70" s="25">
        <f>($S$82+B70*$S$83)*$S$90</f>
        <v>9867.5969029787393</v>
      </c>
      <c r="H70" s="34"/>
      <c r="I70" s="25">
        <f t="shared" si="9"/>
        <v>1187.5969029787393</v>
      </c>
      <c r="J70" s="25">
        <f t="shared" si="10"/>
        <v>1187.5969029787393</v>
      </c>
      <c r="K70" s="25">
        <f>SUM($I$65:I70)</f>
        <v>552.02682681722081</v>
      </c>
      <c r="L70" s="25">
        <f>SUMSQ($I$65:I70)/B70</f>
        <v>297538.88758372958</v>
      </c>
      <c r="M70" s="25">
        <f>SUM($J$65:J70)/B70</f>
        <v>405.90107511719157</v>
      </c>
      <c r="N70" s="25">
        <f t="shared" si="11"/>
        <v>13.681991969801144</v>
      </c>
      <c r="O70" s="25">
        <f>AVERAGE($N$65:N70)</f>
        <v>8.5405977862411309</v>
      </c>
      <c r="P70" s="41">
        <f>SUM($I$65:I70)/M70</f>
        <v>1.3600033620453946</v>
      </c>
      <c r="R70" s="3" t="s">
        <v>13</v>
      </c>
      <c r="S70" s="3">
        <v>0.86685152163006041</v>
      </c>
    </row>
    <row r="71" spans="1:23" x14ac:dyDescent="0.2">
      <c r="A71" s="46" t="s">
        <v>5</v>
      </c>
      <c r="B71" s="13">
        <v>7</v>
      </c>
      <c r="C71" s="78">
        <v>5695</v>
      </c>
      <c r="D71" s="15">
        <f t="shared" si="12"/>
        <v>5131.5</v>
      </c>
      <c r="E71" s="15">
        <f t="shared" si="7"/>
        <v>5459.5606617647081</v>
      </c>
      <c r="F71" s="17">
        <f t="shared" si="8"/>
        <v>1.0431242279043</v>
      </c>
      <c r="G71" s="25">
        <f>($S$82+B71*$S$83)*$S$91</f>
        <v>5175.8967728262523</v>
      </c>
      <c r="H71" s="34"/>
      <c r="I71" s="25">
        <f t="shared" si="9"/>
        <v>-519.10322717374765</v>
      </c>
      <c r="J71" s="25">
        <f t="shared" si="10"/>
        <v>519.10322717374765</v>
      </c>
      <c r="K71" s="25">
        <f>SUM($I$65:I71)</f>
        <v>32.923599643473153</v>
      </c>
      <c r="L71" s="25">
        <f>SUMSQ($I$65:I71)/B71</f>
        <v>293528.7837092253</v>
      </c>
      <c r="M71" s="25">
        <f>SUM($J$65:J71)/B71</f>
        <v>422.07281112527102</v>
      </c>
      <c r="N71" s="25">
        <f t="shared" si="11"/>
        <v>9.1150698362378861</v>
      </c>
      <c r="O71" s="25">
        <f>AVERAGE($N$65:N71)</f>
        <v>8.6226652219549518</v>
      </c>
      <c r="P71" s="41">
        <f>SUM($I$65:I71)/M71</f>
        <v>7.8004549868296164E-2</v>
      </c>
      <c r="R71" s="3" t="s">
        <v>14</v>
      </c>
      <c r="S71" s="3">
        <v>0.85734091603220752</v>
      </c>
    </row>
    <row r="72" spans="1:23" x14ac:dyDescent="0.2">
      <c r="A72" s="46" t="s">
        <v>3</v>
      </c>
      <c r="B72" s="13">
        <v>8</v>
      </c>
      <c r="C72" s="78">
        <v>1953</v>
      </c>
      <c r="D72" s="15">
        <f t="shared" si="12"/>
        <v>5891.625</v>
      </c>
      <c r="E72" s="15">
        <f t="shared" si="7"/>
        <v>5723.5009191176487</v>
      </c>
      <c r="F72" s="17">
        <f t="shared" si="8"/>
        <v>0.34122472025409933</v>
      </c>
      <c r="G72" s="25">
        <f>($S$82+B72*$S$83)*$S$92</f>
        <v>2373.4944234343288</v>
      </c>
      <c r="H72" s="34"/>
      <c r="I72" s="25">
        <f t="shared" si="9"/>
        <v>420.49442343432884</v>
      </c>
      <c r="J72" s="25">
        <f t="shared" si="10"/>
        <v>420.49442343432884</v>
      </c>
      <c r="K72" s="25">
        <f>SUM($I$65:I72)</f>
        <v>453.41802307780199</v>
      </c>
      <c r="L72" s="25">
        <f>SUMSQ($I$65:I72)/B72</f>
        <v>278939.63076299318</v>
      </c>
      <c r="M72" s="25">
        <f>SUM($J$65:J72)/B72</f>
        <v>421.87551266390324</v>
      </c>
      <c r="N72" s="25">
        <f t="shared" si="11"/>
        <v>21.530692444154063</v>
      </c>
      <c r="O72" s="25">
        <f>AVERAGE($N$65:N72)</f>
        <v>10.236168624729842</v>
      </c>
      <c r="P72" s="41">
        <f>SUM($I$65:I72)/M72</f>
        <v>1.0747673412346828</v>
      </c>
      <c r="R72" s="3" t="s">
        <v>15</v>
      </c>
      <c r="S72" s="3">
        <v>509.77299172652909</v>
      </c>
    </row>
    <row r="73" spans="1:23" ht="13.5" thickBot="1" x14ac:dyDescent="0.25">
      <c r="A73" s="46" t="s">
        <v>4</v>
      </c>
      <c r="B73" s="13">
        <v>9</v>
      </c>
      <c r="C73" s="78">
        <v>4742</v>
      </c>
      <c r="D73" s="15">
        <f t="shared" si="12"/>
        <v>6633.875</v>
      </c>
      <c r="E73" s="15">
        <f t="shared" si="7"/>
        <v>5987.4411764705892</v>
      </c>
      <c r="F73" s="17">
        <f t="shared" si="8"/>
        <v>0.79199107936710655</v>
      </c>
      <c r="G73" s="25">
        <f>($S$82+B73*$S$83)*$S$89</f>
        <v>4559.6366730652708</v>
      </c>
      <c r="H73" s="34"/>
      <c r="I73" s="25">
        <f t="shared" si="9"/>
        <v>-182.36332693472923</v>
      </c>
      <c r="J73" s="25">
        <f t="shared" si="10"/>
        <v>182.36332693472923</v>
      </c>
      <c r="K73" s="25">
        <f>SUM($I$65:I73)</f>
        <v>271.05469614307276</v>
      </c>
      <c r="L73" s="25">
        <f>SUMSQ($I$65:I73)/B73</f>
        <v>251641.49212384984</v>
      </c>
      <c r="M73" s="25">
        <f>SUM($J$65:J73)/B73</f>
        <v>395.26304758288393</v>
      </c>
      <c r="N73" s="25">
        <f t="shared" si="11"/>
        <v>3.845704912162152</v>
      </c>
      <c r="O73" s="25">
        <f>AVERAGE($N$65:N73)</f>
        <v>9.5261171011112094</v>
      </c>
      <c r="P73" s="41">
        <f>SUM($I$65:I73)/M73</f>
        <v>0.68575774487554253</v>
      </c>
      <c r="R73" s="4" t="s">
        <v>16</v>
      </c>
      <c r="S73" s="4">
        <v>16</v>
      </c>
    </row>
    <row r="74" spans="1:23" x14ac:dyDescent="0.2">
      <c r="A74" s="46" t="s">
        <v>48</v>
      </c>
      <c r="B74" s="13">
        <v>10</v>
      </c>
      <c r="C74" s="78">
        <v>13673</v>
      </c>
      <c r="D74" s="15">
        <f t="shared" si="12"/>
        <v>6850</v>
      </c>
      <c r="E74" s="15">
        <f t="shared" si="7"/>
        <v>6251.3814338235297</v>
      </c>
      <c r="F74" s="17">
        <f t="shared" si="8"/>
        <v>2.1871965652297733</v>
      </c>
      <c r="G74" s="25">
        <f>($S$82+B74*$S$83)*$S$90</f>
        <v>11872.713415197961</v>
      </c>
      <c r="H74" s="34"/>
      <c r="I74" s="25">
        <f t="shared" si="9"/>
        <v>-1800.2865848020392</v>
      </c>
      <c r="J74" s="25">
        <f t="shared" si="10"/>
        <v>1800.2865848020392</v>
      </c>
      <c r="K74" s="25">
        <f>SUM($I$65:I74)</f>
        <v>-1529.2318886589665</v>
      </c>
      <c r="L74" s="25">
        <f>SUMSQ($I$65:I74)/B74</f>
        <v>550580.52165328385</v>
      </c>
      <c r="M74" s="25">
        <f>SUM($J$65:J74)/B74</f>
        <v>535.76540130479941</v>
      </c>
      <c r="N74" s="25">
        <f t="shared" si="11"/>
        <v>13.166727015300514</v>
      </c>
      <c r="O74" s="25">
        <f>AVERAGE($N$65:N74)</f>
        <v>9.8901780925301388</v>
      </c>
      <c r="P74" s="41">
        <f>SUM($I$65:I74)/M74</f>
        <v>-2.8542938475211082</v>
      </c>
    </row>
    <row r="75" spans="1:23" ht="13.5" thickBot="1" x14ac:dyDescent="0.25">
      <c r="A75" s="46" t="s">
        <v>5</v>
      </c>
      <c r="B75" s="13">
        <v>11</v>
      </c>
      <c r="C75" s="78">
        <v>6640</v>
      </c>
      <c r="D75" s="15">
        <f t="shared" si="12"/>
        <v>6791</v>
      </c>
      <c r="E75" s="15">
        <f t="shared" si="7"/>
        <v>6515.3216911764712</v>
      </c>
      <c r="F75" s="17">
        <f t="shared" si="8"/>
        <v>1.0191361708190676</v>
      </c>
      <c r="G75" s="25">
        <f>($S$82+B75*$S$83)*$S$91</f>
        <v>6176.8033372093578</v>
      </c>
      <c r="H75" s="34"/>
      <c r="I75" s="25">
        <f t="shared" si="9"/>
        <v>-463.19666279064222</v>
      </c>
      <c r="J75" s="25">
        <f t="shared" si="10"/>
        <v>463.19666279064222</v>
      </c>
      <c r="K75" s="25">
        <f>SUM($I$65:I75)</f>
        <v>-1992.4285514496087</v>
      </c>
      <c r="L75" s="25">
        <f>SUMSQ($I$65:I75)/B75</f>
        <v>520032.39681392966</v>
      </c>
      <c r="M75" s="25">
        <f>SUM($J$65:J75)/B75</f>
        <v>529.16824325805783</v>
      </c>
      <c r="N75" s="25">
        <f t="shared" si="11"/>
        <v>6.9758533552807558</v>
      </c>
      <c r="O75" s="25">
        <f>AVERAGE($N$65:N75)</f>
        <v>9.6252394800529242</v>
      </c>
      <c r="P75" s="41">
        <f>SUM($I$65:I75)/M75</f>
        <v>-3.765208091820369</v>
      </c>
      <c r="R75" t="s">
        <v>17</v>
      </c>
    </row>
    <row r="76" spans="1:23" x14ac:dyDescent="0.2">
      <c r="A76" s="46" t="s">
        <v>3</v>
      </c>
      <c r="B76" s="13">
        <v>12</v>
      </c>
      <c r="C76" s="78">
        <v>2737</v>
      </c>
      <c r="D76" s="15">
        <f t="shared" si="12"/>
        <v>6573.125</v>
      </c>
      <c r="E76" s="15">
        <f t="shared" si="7"/>
        <v>6779.2619485294126</v>
      </c>
      <c r="F76" s="17">
        <f t="shared" si="8"/>
        <v>0.40373126466867415</v>
      </c>
      <c r="G76" s="25">
        <f>($S$82+B76*$S$83)*$S$92</f>
        <v>2811.3108842333631</v>
      </c>
      <c r="H76" s="34"/>
      <c r="I76" s="25">
        <f t="shared" si="9"/>
        <v>74.31088423336314</v>
      </c>
      <c r="J76" s="25">
        <f t="shared" si="10"/>
        <v>74.31088423336314</v>
      </c>
      <c r="K76" s="25">
        <f>SUM($I$65:I76)</f>
        <v>-1918.1176672162455</v>
      </c>
      <c r="L76" s="25">
        <f>SUMSQ($I$65:I76)/B76</f>
        <v>477156.53937239759</v>
      </c>
      <c r="M76" s="25">
        <f>SUM($J$65:J76)/B76</f>
        <v>491.26346333933333</v>
      </c>
      <c r="N76" s="25">
        <f t="shared" si="11"/>
        <v>2.7150487480220367</v>
      </c>
      <c r="O76" s="25">
        <f>AVERAGE($N$65:N76)</f>
        <v>9.0493902523836827</v>
      </c>
      <c r="P76" s="41">
        <f>SUM($I$65:I76)/M76</f>
        <v>-3.9044582191762403</v>
      </c>
      <c r="R76" s="5"/>
      <c r="S76" s="5" t="s">
        <v>21</v>
      </c>
      <c r="T76" s="5" t="s">
        <v>22</v>
      </c>
      <c r="U76" s="5" t="s">
        <v>23</v>
      </c>
      <c r="V76" s="5" t="s">
        <v>24</v>
      </c>
      <c r="W76" s="5" t="s">
        <v>25</v>
      </c>
    </row>
    <row r="77" spans="1:23" x14ac:dyDescent="0.2">
      <c r="A77" s="46" t="s">
        <v>4</v>
      </c>
      <c r="B77" s="13">
        <v>13</v>
      </c>
      <c r="C77" s="78">
        <v>3486</v>
      </c>
      <c r="D77" s="15">
        <f t="shared" si="12"/>
        <v>6363.25</v>
      </c>
      <c r="E77" s="15">
        <f t="shared" si="7"/>
        <v>7043.2022058823532</v>
      </c>
      <c r="F77" s="17">
        <f t="shared" si="8"/>
        <v>0.49494532431406796</v>
      </c>
      <c r="G77" s="25">
        <f>($S$82+B77*$S$83)*$S$89</f>
        <v>5363.6340011086104</v>
      </c>
      <c r="H77" s="34"/>
      <c r="I77" s="25">
        <f t="shared" si="9"/>
        <v>1877.6340011086104</v>
      </c>
      <c r="J77" s="25">
        <f t="shared" si="10"/>
        <v>1877.6340011086104</v>
      </c>
      <c r="K77" s="25">
        <f>SUM($I$65:I77)</f>
        <v>-40.483666107635145</v>
      </c>
      <c r="L77" s="25">
        <f>SUMSQ($I$65:I77)/B77</f>
        <v>711645.2241990692</v>
      </c>
      <c r="M77" s="25">
        <f>SUM($J$65:J77)/B77</f>
        <v>597.9073508600469</v>
      </c>
      <c r="N77" s="25">
        <f t="shared" si="11"/>
        <v>53.862134283092665</v>
      </c>
      <c r="O77" s="25">
        <f>AVERAGE($N$65:N77)</f>
        <v>12.496524408592068</v>
      </c>
      <c r="P77" s="41">
        <f>SUM($I$65:I77)/M77</f>
        <v>-6.7708928564605017E-2</v>
      </c>
      <c r="R77" s="3" t="s">
        <v>18</v>
      </c>
      <c r="S77" s="3">
        <v>1</v>
      </c>
      <c r="T77" s="3">
        <v>23685916.213522516</v>
      </c>
      <c r="U77" s="3">
        <v>23685916.213522516</v>
      </c>
      <c r="V77" s="3">
        <v>91.145775388453288</v>
      </c>
      <c r="W77" s="3">
        <v>1.653571094928248E-7</v>
      </c>
    </row>
    <row r="78" spans="1:23" x14ac:dyDescent="0.2">
      <c r="A78" s="46" t="s">
        <v>48</v>
      </c>
      <c r="B78" s="13">
        <v>14</v>
      </c>
      <c r="C78" s="78">
        <v>13186</v>
      </c>
      <c r="D78" s="15">
        <f t="shared" si="12"/>
        <v>6307.75</v>
      </c>
      <c r="E78" s="15">
        <f t="shared" si="7"/>
        <v>7307.1424632352937</v>
      </c>
      <c r="F78" s="17">
        <f t="shared" si="8"/>
        <v>1.8045357766518482</v>
      </c>
      <c r="G78" s="25">
        <f>($S$82+B78*$S$83)*$S$90</f>
        <v>13877.829927417188</v>
      </c>
      <c r="H78" s="34"/>
      <c r="I78" s="25">
        <f t="shared" si="9"/>
        <v>691.82992741718772</v>
      </c>
      <c r="J78" s="25">
        <f t="shared" si="10"/>
        <v>691.82992741718772</v>
      </c>
      <c r="K78" s="25">
        <f>SUM($I$65:I78)</f>
        <v>651.34626130955257</v>
      </c>
      <c r="L78" s="25">
        <f>SUMSQ($I$65:I78)/B78</f>
        <v>695001.18307556945</v>
      </c>
      <c r="M78" s="25">
        <f>SUM($J$65:J78)/B78</f>
        <v>604.61610632841416</v>
      </c>
      <c r="N78" s="25">
        <f t="shared" si="11"/>
        <v>5.2467004961109334</v>
      </c>
      <c r="O78" s="25">
        <f>AVERAGE($N$65:N78)</f>
        <v>11.978679843414843</v>
      </c>
      <c r="P78" s="41">
        <f>SUM($I$65:I78)/M78</f>
        <v>1.0772889681436233</v>
      </c>
      <c r="R78" s="3" t="s">
        <v>19</v>
      </c>
      <c r="S78" s="3">
        <v>14</v>
      </c>
      <c r="T78" s="3">
        <v>3638159.0433134218</v>
      </c>
      <c r="U78" s="3">
        <v>259868.50309381585</v>
      </c>
      <c r="V78" s="3"/>
      <c r="W78" s="3"/>
    </row>
    <row r="79" spans="1:23" ht="13.5" thickBot="1" x14ac:dyDescent="0.25">
      <c r="A79" s="46" t="s">
        <v>5</v>
      </c>
      <c r="B79" s="13">
        <v>15</v>
      </c>
      <c r="C79" s="78">
        <v>5448</v>
      </c>
      <c r="D79" s="15">
        <f t="shared" si="12"/>
        <v>6931.5</v>
      </c>
      <c r="E79" s="15">
        <f t="shared" si="7"/>
        <v>7571.0827205882342</v>
      </c>
      <c r="F79" s="17">
        <f t="shared" si="8"/>
        <v>0.71958003908544255</v>
      </c>
      <c r="G79" s="25">
        <f>($S$82+B79*$S$83)*$S$91</f>
        <v>7177.7099015924632</v>
      </c>
      <c r="H79" s="34"/>
      <c r="I79" s="25">
        <f t="shared" si="9"/>
        <v>1729.7099015924632</v>
      </c>
      <c r="J79" s="25">
        <f t="shared" si="10"/>
        <v>1729.7099015924632</v>
      </c>
      <c r="K79" s="25">
        <f>SUM($I$65:I79)</f>
        <v>2381.0561629020158</v>
      </c>
      <c r="L79" s="25">
        <f>SUMSQ($I$65:I79)/B79</f>
        <v>848127.52711499878</v>
      </c>
      <c r="M79" s="25">
        <f>SUM($J$65:J79)/B79</f>
        <v>679.62235934601745</v>
      </c>
      <c r="N79" s="25">
        <f t="shared" si="11"/>
        <v>31.749447532901311</v>
      </c>
      <c r="O79" s="25">
        <f>AVERAGE($N$65:N79)</f>
        <v>13.296731022713942</v>
      </c>
      <c r="P79" s="41">
        <f>SUM($I$65:I79)/M79</f>
        <v>3.5034988625054111</v>
      </c>
      <c r="R79" s="4" t="s">
        <v>0</v>
      </c>
      <c r="S79" s="4">
        <v>15</v>
      </c>
      <c r="T79" s="4">
        <v>27324075.256835937</v>
      </c>
      <c r="U79" s="4"/>
      <c r="V79" s="4"/>
      <c r="W79" s="4"/>
    </row>
    <row r="80" spans="1:23" ht="13.5" thickBot="1" x14ac:dyDescent="0.25">
      <c r="A80" s="46" t="s">
        <v>3</v>
      </c>
      <c r="B80" s="13">
        <v>16</v>
      </c>
      <c r="C80" s="78">
        <v>3485</v>
      </c>
      <c r="D80" s="15">
        <f t="shared" si="12"/>
        <v>7887.375</v>
      </c>
      <c r="E80" s="15">
        <f t="shared" si="7"/>
        <v>7835.0229779411748</v>
      </c>
      <c r="F80" s="17">
        <f t="shared" si="8"/>
        <v>0.44479767446907487</v>
      </c>
      <c r="G80" s="25">
        <f>($S$82+B80*$S$83)*$S$92</f>
        <v>3249.1273450323965</v>
      </c>
      <c r="H80" s="34"/>
      <c r="I80" s="25">
        <f t="shared" si="9"/>
        <v>-235.87265496760347</v>
      </c>
      <c r="J80" s="25">
        <f t="shared" si="10"/>
        <v>235.87265496760347</v>
      </c>
      <c r="K80" s="25">
        <f>SUM($I$65:I80)</f>
        <v>2145.1835079344123</v>
      </c>
      <c r="L80" s="25">
        <f>SUMSQ($I$65:I80)/B80</f>
        <v>798596.80100540305</v>
      </c>
      <c r="M80" s="25">
        <f>SUM($J$65:J80)/B80</f>
        <v>651.8880028223665</v>
      </c>
      <c r="N80" s="25">
        <f t="shared" si="11"/>
        <v>6.7682253936184642</v>
      </c>
      <c r="O80" s="25">
        <f>AVERAGE($N$65:N80)</f>
        <v>12.888699420895474</v>
      </c>
      <c r="P80" s="41">
        <f>SUM($I$65:I80)/M80</f>
        <v>3.2907240180012258</v>
      </c>
    </row>
    <row r="81" spans="1:26" x14ac:dyDescent="0.2">
      <c r="A81" s="46" t="s">
        <v>4</v>
      </c>
      <c r="B81" s="13">
        <v>17</v>
      </c>
      <c r="C81" s="78">
        <v>7728</v>
      </c>
      <c r="D81" s="15">
        <f t="shared" si="12"/>
        <v>8661.5</v>
      </c>
      <c r="E81" s="15">
        <f t="shared" si="7"/>
        <v>8098.9632352941153</v>
      </c>
      <c r="F81" s="17">
        <f t="shared" si="8"/>
        <v>0.95419620703085661</v>
      </c>
      <c r="G81" s="25">
        <f>($S$82+B81*$S$83)*$S$89</f>
        <v>6167.6313291519482</v>
      </c>
      <c r="H81" s="34"/>
      <c r="I81" s="25">
        <f t="shared" si="9"/>
        <v>-1560.3686708480518</v>
      </c>
      <c r="J81" s="25">
        <f t="shared" si="10"/>
        <v>1560.3686708480518</v>
      </c>
      <c r="K81" s="25">
        <f>SUM($I$65:I81)</f>
        <v>584.81483708636051</v>
      </c>
      <c r="L81" s="25">
        <f>SUMSQ($I$65:I81)/B81</f>
        <v>894841.12970885681</v>
      </c>
      <c r="M81" s="25">
        <f>SUM($J$65:J81)/B81</f>
        <v>705.32804211799498</v>
      </c>
      <c r="N81" s="25">
        <f t="shared" si="11"/>
        <v>20.191105989234625</v>
      </c>
      <c r="O81" s="25">
        <f>AVERAGE($N$65:N81)</f>
        <v>13.318252748444834</v>
      </c>
      <c r="P81" s="41">
        <f>SUM($I$65:I81)/M81</f>
        <v>0.82913878672716412</v>
      </c>
      <c r="R81" s="5"/>
      <c r="S81" s="5" t="s">
        <v>26</v>
      </c>
      <c r="T81" s="5" t="s">
        <v>15</v>
      </c>
      <c r="U81" s="5" t="s">
        <v>27</v>
      </c>
      <c r="V81" s="5" t="s">
        <v>28</v>
      </c>
      <c r="W81" s="5" t="s">
        <v>29</v>
      </c>
      <c r="X81" s="5" t="s">
        <v>30</v>
      </c>
      <c r="Y81" s="5" t="s">
        <v>31</v>
      </c>
      <c r="Z81" s="5" t="s">
        <v>32</v>
      </c>
    </row>
    <row r="82" spans="1:26" x14ac:dyDescent="0.2">
      <c r="A82" s="46" t="s">
        <v>48</v>
      </c>
      <c r="B82" s="13">
        <v>18</v>
      </c>
      <c r="C82" s="78">
        <v>16591</v>
      </c>
      <c r="D82" s="15">
        <f t="shared" si="12"/>
        <v>8988.875</v>
      </c>
      <c r="E82" s="15">
        <f t="shared" si="7"/>
        <v>8362.9034926470576</v>
      </c>
      <c r="F82" s="17">
        <f t="shared" si="8"/>
        <v>1.9838803609999036</v>
      </c>
      <c r="G82" s="25">
        <f>($S$82+B82*$S$83)*$S$90</f>
        <v>15882.946439636413</v>
      </c>
      <c r="H82" s="34"/>
      <c r="I82" s="25">
        <f t="shared" si="9"/>
        <v>-708.05356036358717</v>
      </c>
      <c r="J82" s="25">
        <f t="shared" si="10"/>
        <v>708.05356036358717</v>
      </c>
      <c r="K82" s="25">
        <f>SUM($I$65:I82)</f>
        <v>-123.23872327722665</v>
      </c>
      <c r="L82" s="25">
        <f>SUMSQ($I$65:I82)/B82</f>
        <v>872979.94718856213</v>
      </c>
      <c r="M82" s="25">
        <f>SUM($J$65:J82)/B82</f>
        <v>705.4794597983057</v>
      </c>
      <c r="N82" s="25">
        <f t="shared" si="11"/>
        <v>4.2676967052232371</v>
      </c>
      <c r="O82" s="25">
        <f>AVERAGE($N$65:N82)</f>
        <v>12.815444079376968</v>
      </c>
      <c r="P82" s="41">
        <f>SUM($I$65:I82)/M82</f>
        <v>-0.17468789709690513</v>
      </c>
      <c r="R82" s="3" t="s">
        <v>20</v>
      </c>
      <c r="S82" s="83">
        <v>3611.9788602941221</v>
      </c>
      <c r="T82" s="3">
        <v>317.02991210162969</v>
      </c>
      <c r="U82" s="3">
        <v>11.393180019985738</v>
      </c>
      <c r="V82" s="3">
        <v>1.8153931026474335E-8</v>
      </c>
      <c r="W82" s="3">
        <v>2932.0167203497354</v>
      </c>
      <c r="X82" s="3">
        <v>4291.9410002385093</v>
      </c>
      <c r="Y82" s="3">
        <v>2932.0167203497354</v>
      </c>
      <c r="Z82" s="3">
        <v>4291.9410002385093</v>
      </c>
    </row>
    <row r="83" spans="1:26" ht="13.5" thickBot="1" x14ac:dyDescent="0.25">
      <c r="A83" s="46" t="s">
        <v>5</v>
      </c>
      <c r="B83" s="13">
        <v>19</v>
      </c>
      <c r="C83" s="78">
        <v>8236</v>
      </c>
      <c r="D83" s="15"/>
      <c r="E83" s="15">
        <f t="shared" si="7"/>
        <v>8626.8437499999982</v>
      </c>
      <c r="F83" s="17">
        <f t="shared" si="8"/>
        <v>0.95469446748702291</v>
      </c>
      <c r="G83" s="25">
        <f>($S$82+B83*$S$83)*$S$91</f>
        <v>8178.6164659755696</v>
      </c>
      <c r="H83" s="34"/>
      <c r="I83" s="25">
        <f t="shared" si="9"/>
        <v>-57.383534024430446</v>
      </c>
      <c r="J83" s="25">
        <f t="shared" si="10"/>
        <v>57.383534024430446</v>
      </c>
      <c r="K83" s="25">
        <f>SUM($I$65:I83)</f>
        <v>-180.6222573016571</v>
      </c>
      <c r="L83" s="25">
        <f>SUMSQ($I$65:I83)/B83</f>
        <v>827206.94312480267</v>
      </c>
      <c r="M83" s="25">
        <f>SUM($J$65:J83)/B83</f>
        <v>671.36914791547008</v>
      </c>
      <c r="N83" s="25">
        <f t="shared" si="11"/>
        <v>0.69674033541076308</v>
      </c>
      <c r="O83" s="25">
        <f>AVERAGE($N$65:N83)</f>
        <v>12.177617566536643</v>
      </c>
      <c r="P83" s="41">
        <f>SUM($I$65:I83)/M83</f>
        <v>-0.26903568307014114</v>
      </c>
      <c r="R83" s="4" t="s">
        <v>33</v>
      </c>
      <c r="S83" s="84">
        <v>263.94025735294082</v>
      </c>
      <c r="T83" s="4">
        <v>27.646322119705495</v>
      </c>
      <c r="U83" s="4">
        <v>9.5470296631178968</v>
      </c>
      <c r="V83" s="4">
        <v>1.6535710949282776E-7</v>
      </c>
      <c r="W83" s="4">
        <v>204.64474095989902</v>
      </c>
      <c r="X83" s="4">
        <v>323.23577374598261</v>
      </c>
      <c r="Y83" s="4">
        <v>204.64474095989902</v>
      </c>
      <c r="Z83" s="4">
        <v>323.23577374598261</v>
      </c>
    </row>
    <row r="84" spans="1:26" ht="13.5" thickBot="1" x14ac:dyDescent="0.25">
      <c r="A84" s="47" t="s">
        <v>3</v>
      </c>
      <c r="B84" s="14">
        <v>20</v>
      </c>
      <c r="C84" s="79">
        <v>3316</v>
      </c>
      <c r="D84" s="16"/>
      <c r="E84" s="16">
        <f t="shared" si="7"/>
        <v>8890.7840073529387</v>
      </c>
      <c r="F84" s="18">
        <f t="shared" si="8"/>
        <v>0.37297048238463232</v>
      </c>
      <c r="G84" s="25">
        <f>($S$82+B84*$S$83)*$S$92</f>
        <v>3686.9438058314308</v>
      </c>
      <c r="H84" s="34"/>
      <c r="I84" s="26">
        <f t="shared" si="9"/>
        <v>370.94380583143084</v>
      </c>
      <c r="J84" s="26">
        <f t="shared" si="10"/>
        <v>370.94380583143084</v>
      </c>
      <c r="K84" s="26">
        <f>SUM($I$65:I84)</f>
        <v>190.32154852977374</v>
      </c>
      <c r="L84" s="26">
        <f>SUMSQ($I$65:I84)/B84</f>
        <v>792726.56132279779</v>
      </c>
      <c r="M84" s="26">
        <f>SUM($J$65:J84)/B84</f>
        <v>656.34788081126806</v>
      </c>
      <c r="N84" s="26">
        <f t="shared" si="11"/>
        <v>11.186483891177046</v>
      </c>
      <c r="O84" s="26">
        <f>AVERAGE($N$65:N84)</f>
        <v>12.128060882768661</v>
      </c>
      <c r="P84" s="42">
        <f>SUM($I$65:I84)/M84</f>
        <v>0.28997053863346051</v>
      </c>
    </row>
    <row r="85" spans="1:26" ht="13.5" thickBot="1" x14ac:dyDescent="0.25">
      <c r="A85" s="45" t="s">
        <v>4</v>
      </c>
      <c r="B85" s="58">
        <v>21</v>
      </c>
      <c r="C85" s="52"/>
      <c r="D85" s="53"/>
      <c r="E85" s="53"/>
      <c r="F85" s="54"/>
      <c r="G85" s="27">
        <f>($S$82+B85*$S$83)*$S$89</f>
        <v>6971.6286571952869</v>
      </c>
      <c r="H85" s="34"/>
      <c r="I85" s="34"/>
      <c r="J85" s="34"/>
      <c r="K85" s="34"/>
      <c r="L85" s="74" t="s">
        <v>62</v>
      </c>
      <c r="M85" s="75">
        <f>1.25*M84</f>
        <v>820.4348510140851</v>
      </c>
      <c r="N85" s="34"/>
      <c r="O85" s="34"/>
      <c r="P85" s="35"/>
    </row>
    <row r="86" spans="1:26" x14ac:dyDescent="0.2">
      <c r="A86" s="46" t="s">
        <v>48</v>
      </c>
      <c r="B86" s="13">
        <v>22</v>
      </c>
      <c r="C86" s="52"/>
      <c r="D86" s="53"/>
      <c r="E86" s="53"/>
      <c r="F86" s="54"/>
      <c r="G86" s="28">
        <f>($S$82+B86*$S$83)*$S$90</f>
        <v>17888.062951855634</v>
      </c>
      <c r="H86" s="34"/>
      <c r="I86" s="34"/>
      <c r="J86" s="34"/>
      <c r="K86" s="34"/>
      <c r="L86" s="34"/>
      <c r="M86" s="34"/>
      <c r="N86" s="34"/>
      <c r="O86" s="34"/>
      <c r="P86" s="35"/>
    </row>
    <row r="87" spans="1:26" x14ac:dyDescent="0.2">
      <c r="A87" s="46" t="s">
        <v>5</v>
      </c>
      <c r="B87" s="13">
        <v>23</v>
      </c>
      <c r="C87" s="52"/>
      <c r="D87" s="53"/>
      <c r="E87" s="53"/>
      <c r="F87" s="54"/>
      <c r="G87" s="28">
        <f>($S$82+B87*$S$83)*$S$91</f>
        <v>9179.5230303586741</v>
      </c>
      <c r="H87" s="34"/>
      <c r="I87" s="34"/>
      <c r="J87" s="34"/>
      <c r="K87" s="34"/>
      <c r="L87" s="34"/>
      <c r="M87" s="34"/>
      <c r="N87" s="34"/>
      <c r="O87" s="34"/>
      <c r="P87" s="35"/>
      <c r="R87" s="86" t="s">
        <v>35</v>
      </c>
      <c r="S87" s="10"/>
    </row>
    <row r="88" spans="1:26" x14ac:dyDescent="0.2">
      <c r="A88" s="46" t="s">
        <v>3</v>
      </c>
      <c r="B88" s="13">
        <v>24</v>
      </c>
      <c r="C88" s="52"/>
      <c r="D88" s="53"/>
      <c r="E88" s="53"/>
      <c r="F88" s="54"/>
      <c r="G88" s="28">
        <f>($S$82+B88*$S$83)*$S$92</f>
        <v>4124.7602666304647</v>
      </c>
      <c r="H88" s="34"/>
      <c r="I88" s="34"/>
      <c r="J88" s="34"/>
      <c r="K88" s="34"/>
      <c r="L88" s="34"/>
      <c r="M88" s="34"/>
      <c r="N88" s="34"/>
      <c r="O88" s="34"/>
      <c r="P88" s="35"/>
      <c r="R88" s="11" t="s">
        <v>2</v>
      </c>
      <c r="S88" s="10" t="s">
        <v>0</v>
      </c>
    </row>
    <row r="89" spans="1:26" x14ac:dyDescent="0.2">
      <c r="A89" s="46" t="s">
        <v>4</v>
      </c>
      <c r="B89" s="13">
        <v>25</v>
      </c>
      <c r="C89" s="52"/>
      <c r="D89" s="53"/>
      <c r="E89" s="53"/>
      <c r="F89" s="54"/>
      <c r="G89" s="27">
        <f>($S$82+B89*$S$83)*$S$89</f>
        <v>7775.6259852386265</v>
      </c>
      <c r="H89" s="34"/>
      <c r="I89" s="34"/>
      <c r="J89" s="34"/>
      <c r="K89" s="34"/>
      <c r="L89" s="34"/>
      <c r="M89" s="34"/>
      <c r="N89" s="34"/>
      <c r="O89" s="34"/>
      <c r="P89" s="35"/>
      <c r="R89" s="9" t="s">
        <v>4</v>
      </c>
      <c r="S89" s="20">
        <v>0.76153343952399966</v>
      </c>
    </row>
    <row r="90" spans="1:26" x14ac:dyDescent="0.2">
      <c r="A90" s="46" t="s">
        <v>48</v>
      </c>
      <c r="B90" s="13">
        <v>26</v>
      </c>
      <c r="C90" s="52"/>
      <c r="D90" s="53"/>
      <c r="E90" s="53"/>
      <c r="F90" s="54"/>
      <c r="G90" s="28">
        <f>($S$82+B90*$S$83)*$S$90</f>
        <v>19893.179464074863</v>
      </c>
      <c r="H90" s="34"/>
      <c r="I90" s="34"/>
      <c r="J90" s="34"/>
      <c r="K90" s="34"/>
      <c r="L90" s="34"/>
      <c r="M90" s="34"/>
      <c r="N90" s="34"/>
      <c r="O90" s="34"/>
      <c r="P90" s="35"/>
      <c r="R90" s="12" t="s">
        <v>48</v>
      </c>
      <c r="S90" s="21">
        <v>1.89921436419794</v>
      </c>
    </row>
    <row r="91" spans="1:26" x14ac:dyDescent="0.2">
      <c r="A91" s="46" t="s">
        <v>5</v>
      </c>
      <c r="B91" s="13">
        <v>27</v>
      </c>
      <c r="C91" s="52"/>
      <c r="D91" s="53"/>
      <c r="E91" s="53"/>
      <c r="F91" s="54"/>
      <c r="G91" s="28">
        <f>($S$82+B91*$S$83)*$S$91</f>
        <v>10180.42959474178</v>
      </c>
      <c r="H91" s="34"/>
      <c r="I91" s="34"/>
      <c r="J91" s="34"/>
      <c r="K91" s="34"/>
      <c r="L91" s="34"/>
      <c r="M91" s="34"/>
      <c r="N91" s="34"/>
      <c r="O91" s="34"/>
      <c r="P91" s="35"/>
      <c r="R91" s="12" t="s">
        <v>5</v>
      </c>
      <c r="S91" s="21">
        <v>0.94804272605210582</v>
      </c>
    </row>
    <row r="92" spans="1:26" x14ac:dyDescent="0.2">
      <c r="A92" s="46" t="s">
        <v>3</v>
      </c>
      <c r="B92" s="13">
        <v>28</v>
      </c>
      <c r="C92" s="52"/>
      <c r="D92" s="53"/>
      <c r="E92" s="53"/>
      <c r="F92" s="54"/>
      <c r="G92" s="28">
        <f>($S$82+B92*$S$83)*$S$92</f>
        <v>4562.5767274294985</v>
      </c>
      <c r="H92" s="34"/>
      <c r="I92" s="34"/>
      <c r="J92" s="34"/>
      <c r="K92" s="34"/>
      <c r="L92" s="34"/>
      <c r="M92" s="34"/>
      <c r="N92" s="34"/>
      <c r="O92" s="34"/>
      <c r="P92" s="35"/>
      <c r="R92" s="19" t="s">
        <v>3</v>
      </c>
      <c r="S92" s="22">
        <v>0.41469276531543453</v>
      </c>
    </row>
    <row r="93" spans="1:26" x14ac:dyDescent="0.2">
      <c r="A93" s="46" t="s">
        <v>4</v>
      </c>
      <c r="B93" s="13">
        <v>29</v>
      </c>
      <c r="C93" s="52"/>
      <c r="D93" s="53"/>
      <c r="E93" s="53"/>
      <c r="F93" s="54"/>
      <c r="G93" s="27">
        <f>($S$82+B93*$S$83)*$S$89</f>
        <v>8579.6233132819634</v>
      </c>
      <c r="H93" s="34"/>
      <c r="I93" s="34"/>
      <c r="J93" s="34"/>
      <c r="K93" s="34"/>
      <c r="L93" s="34"/>
      <c r="M93" s="34"/>
      <c r="N93" s="34"/>
      <c r="O93" s="34"/>
      <c r="P93" s="35"/>
    </row>
    <row r="94" spans="1:26" x14ac:dyDescent="0.2">
      <c r="A94" s="46" t="s">
        <v>48</v>
      </c>
      <c r="B94" s="13">
        <v>30</v>
      </c>
      <c r="C94" s="1"/>
      <c r="D94" s="1"/>
      <c r="E94" s="1"/>
      <c r="F94" s="35"/>
      <c r="G94" s="28">
        <f>($S$82+B94*$S$83)*$S$90</f>
        <v>21898.295976294085</v>
      </c>
      <c r="H94" s="36"/>
      <c r="I94" s="36"/>
      <c r="J94" s="36"/>
      <c r="K94" s="36"/>
      <c r="L94" s="36"/>
      <c r="M94" s="36"/>
      <c r="N94" s="36"/>
      <c r="O94" s="36"/>
      <c r="P94" s="43"/>
      <c r="Q94" s="37"/>
    </row>
    <row r="95" spans="1:26" x14ac:dyDescent="0.2">
      <c r="A95" s="46" t="s">
        <v>5</v>
      </c>
      <c r="B95" s="13">
        <v>31</v>
      </c>
      <c r="C95" s="1"/>
      <c r="D95" s="1"/>
      <c r="E95" s="1"/>
      <c r="F95" s="35"/>
      <c r="G95" s="28">
        <f>($S$82+B95*$S$83)*$S$91</f>
        <v>11181.336159124887</v>
      </c>
      <c r="H95" s="36"/>
      <c r="I95" s="36"/>
      <c r="J95" s="36"/>
      <c r="K95" s="36"/>
      <c r="L95" s="36"/>
      <c r="M95" s="36"/>
      <c r="N95" s="36"/>
      <c r="O95" s="36"/>
      <c r="P95" s="43"/>
      <c r="Q95" s="37"/>
    </row>
    <row r="96" spans="1:26" x14ac:dyDescent="0.2">
      <c r="A96" s="47" t="s">
        <v>3</v>
      </c>
      <c r="B96" s="14">
        <v>32</v>
      </c>
      <c r="C96" s="1"/>
      <c r="D96" s="1"/>
      <c r="E96" s="1"/>
      <c r="F96" s="35"/>
      <c r="G96" s="29">
        <f>($S$82+B96*$S$83)*$S$92</f>
        <v>5000.3931882285324</v>
      </c>
      <c r="H96" s="36"/>
      <c r="I96" s="36"/>
      <c r="J96" s="36"/>
      <c r="K96" s="36"/>
      <c r="L96" s="36"/>
      <c r="M96" s="36"/>
      <c r="N96" s="36"/>
      <c r="O96" s="36"/>
      <c r="P96" s="43"/>
      <c r="Q96" s="37"/>
    </row>
    <row r="97" spans="1:17" x14ac:dyDescent="0.2">
      <c r="A97" s="1"/>
      <c r="B97" s="1"/>
      <c r="C97" s="1"/>
      <c r="D97" s="1"/>
      <c r="E97" s="1"/>
      <c r="F97" s="35"/>
      <c r="G97" s="55"/>
      <c r="H97" s="36"/>
      <c r="I97" s="36"/>
      <c r="J97" s="36"/>
      <c r="K97" s="36"/>
      <c r="L97" s="36"/>
      <c r="M97" s="36"/>
      <c r="N97" s="36"/>
      <c r="O97" s="36"/>
      <c r="P97" s="43"/>
      <c r="Q97" s="37"/>
    </row>
    <row r="98" spans="1:17" x14ac:dyDescent="0.2">
      <c r="A98" s="1"/>
      <c r="B98" s="1"/>
      <c r="C98" s="1"/>
      <c r="D98" s="1"/>
      <c r="E98" s="1"/>
      <c r="F98" s="35"/>
      <c r="G98" s="55"/>
      <c r="H98" s="36"/>
      <c r="I98" s="36"/>
      <c r="J98" s="36"/>
      <c r="K98" s="36"/>
      <c r="L98" s="36"/>
      <c r="M98" s="36"/>
      <c r="N98" s="36"/>
      <c r="O98" s="36"/>
      <c r="P98" s="43"/>
      <c r="Q98" s="37"/>
    </row>
    <row r="99" spans="1:17" x14ac:dyDescent="0.2">
      <c r="A99" s="1"/>
      <c r="B99" s="1"/>
      <c r="C99" s="1"/>
      <c r="D99" s="1"/>
      <c r="E99" s="1"/>
      <c r="F99" s="35"/>
      <c r="G99" s="55"/>
      <c r="H99" s="36"/>
      <c r="I99" s="36"/>
      <c r="J99" s="36"/>
      <c r="K99" s="36"/>
      <c r="L99" s="36"/>
      <c r="M99" s="36"/>
      <c r="N99" s="36"/>
      <c r="O99" s="36"/>
      <c r="P99" s="43"/>
      <c r="Q99" s="37"/>
    </row>
    <row r="100" spans="1:17" x14ac:dyDescent="0.2">
      <c r="A100" s="1"/>
      <c r="B100" s="1"/>
      <c r="C100" s="1"/>
      <c r="D100" s="1"/>
      <c r="E100" s="1"/>
      <c r="F100" s="35"/>
      <c r="G100" s="55"/>
      <c r="H100" s="36"/>
      <c r="I100" s="36"/>
      <c r="J100" s="36"/>
      <c r="K100" s="36"/>
      <c r="L100" s="36"/>
      <c r="M100" s="36"/>
      <c r="N100" s="36"/>
      <c r="O100" s="36"/>
      <c r="P100" s="43"/>
      <c r="Q100" s="37"/>
    </row>
    <row r="101" spans="1:17" x14ac:dyDescent="0.2">
      <c r="A101" s="1"/>
      <c r="B101" s="1"/>
      <c r="C101" s="1"/>
      <c r="D101" s="1"/>
      <c r="E101" s="1"/>
      <c r="F101" s="35"/>
      <c r="G101" s="55"/>
      <c r="H101" s="36"/>
      <c r="I101" s="36"/>
      <c r="J101" s="36"/>
      <c r="K101" s="36"/>
      <c r="L101" s="36"/>
      <c r="M101" s="36"/>
      <c r="N101" s="36"/>
      <c r="O101" s="36"/>
      <c r="P101" s="43"/>
      <c r="Q101" s="37"/>
    </row>
    <row r="102" spans="1:17" x14ac:dyDescent="0.2">
      <c r="A102" s="1"/>
      <c r="B102" s="1"/>
      <c r="C102" s="1"/>
      <c r="D102" s="1"/>
      <c r="E102" s="1"/>
      <c r="F102" s="1"/>
      <c r="G102" s="55"/>
      <c r="H102" s="36"/>
      <c r="I102" s="36"/>
      <c r="J102" s="36"/>
      <c r="K102" s="36"/>
      <c r="L102" s="36"/>
      <c r="M102" s="36"/>
      <c r="N102" s="36"/>
      <c r="O102" s="36"/>
      <c r="P102" s="43"/>
      <c r="Q102" s="37"/>
    </row>
    <row r="103" spans="1:17" x14ac:dyDescent="0.2">
      <c r="A103" s="1"/>
      <c r="B103" s="1"/>
      <c r="C103" s="1"/>
      <c r="D103" s="1"/>
      <c r="E103" s="1"/>
      <c r="F103" s="1"/>
      <c r="G103" s="55"/>
      <c r="H103" s="36"/>
      <c r="I103" s="36"/>
      <c r="J103" s="36"/>
      <c r="K103" s="36"/>
      <c r="L103" s="36"/>
      <c r="M103" s="36"/>
      <c r="N103" s="36"/>
      <c r="O103" s="36"/>
      <c r="P103" s="43"/>
      <c r="Q103" s="37"/>
    </row>
    <row r="104" spans="1:17" x14ac:dyDescent="0.2">
      <c r="A104" s="1"/>
      <c r="B104" s="1"/>
      <c r="C104" s="1"/>
      <c r="D104" s="1"/>
      <c r="E104" s="1"/>
      <c r="F104" s="1"/>
      <c r="G104" s="55"/>
      <c r="H104" s="56"/>
      <c r="I104" s="56"/>
      <c r="J104" s="56"/>
      <c r="K104" s="56"/>
      <c r="L104" s="56"/>
      <c r="M104" s="56"/>
      <c r="N104" s="56"/>
      <c r="O104" s="56"/>
      <c r="P104" s="57"/>
      <c r="Q104" s="37"/>
    </row>
    <row r="105" spans="1:17" x14ac:dyDescent="0.2">
      <c r="A105" s="1"/>
      <c r="B105" s="1"/>
      <c r="C105" s="1"/>
      <c r="D105" s="1"/>
      <c r="E105" s="1"/>
      <c r="F105" s="1"/>
      <c r="G105" s="55"/>
      <c r="H105" s="56"/>
      <c r="I105" s="56"/>
      <c r="J105" s="56"/>
      <c r="K105" s="56"/>
      <c r="L105" s="56"/>
      <c r="M105" s="56"/>
      <c r="N105" s="56"/>
      <c r="O105" s="56"/>
      <c r="P105" s="57"/>
      <c r="Q105" s="37"/>
    </row>
    <row r="106" spans="1:17" x14ac:dyDescent="0.2">
      <c r="A106" s="1"/>
      <c r="B106" s="1"/>
      <c r="C106" s="1"/>
      <c r="D106" s="1"/>
      <c r="E106" s="1"/>
      <c r="F106" s="1"/>
      <c r="G106" s="55"/>
      <c r="H106" s="56"/>
      <c r="I106" s="56"/>
      <c r="J106" s="56"/>
      <c r="K106" s="56"/>
      <c r="L106" s="56"/>
      <c r="M106" s="56"/>
      <c r="N106" s="56"/>
      <c r="O106" s="56"/>
      <c r="P106" s="57"/>
      <c r="Q106" s="37"/>
    </row>
    <row r="107" spans="1:17" x14ac:dyDescent="0.2">
      <c r="A107" s="1"/>
      <c r="B107" s="1"/>
      <c r="C107" s="1"/>
      <c r="D107" s="1"/>
      <c r="E107" s="1"/>
      <c r="F107" s="1"/>
      <c r="G107" s="55"/>
      <c r="H107" s="56"/>
      <c r="I107" s="56"/>
      <c r="J107" s="56"/>
      <c r="K107" s="56"/>
      <c r="L107" s="56"/>
      <c r="M107" s="56"/>
      <c r="N107" s="56"/>
      <c r="O107" s="56"/>
      <c r="P107" s="57"/>
      <c r="Q107" s="37"/>
    </row>
    <row r="108" spans="1:17" x14ac:dyDescent="0.2">
      <c r="A108" s="1"/>
      <c r="B108" s="1"/>
      <c r="C108" s="1"/>
      <c r="D108" s="1"/>
      <c r="E108" s="1"/>
      <c r="F108" s="1"/>
      <c r="G108" s="55"/>
      <c r="H108" s="56"/>
      <c r="I108" s="56"/>
      <c r="J108" s="56"/>
      <c r="K108" s="56"/>
      <c r="L108" s="56"/>
      <c r="M108" s="56"/>
      <c r="N108" s="56"/>
      <c r="O108" s="56"/>
      <c r="P108" s="57"/>
      <c r="Q108" s="37"/>
    </row>
    <row r="109" spans="1:17" x14ac:dyDescent="0.2">
      <c r="A109" s="1"/>
      <c r="B109" s="1"/>
      <c r="C109" s="1"/>
      <c r="D109" s="1"/>
      <c r="E109" s="1"/>
      <c r="F109" s="1"/>
      <c r="G109" s="55"/>
      <c r="H109" s="56"/>
      <c r="I109" s="56"/>
      <c r="J109" s="56"/>
      <c r="K109" s="56"/>
      <c r="L109" s="56"/>
      <c r="M109" s="56"/>
      <c r="N109" s="56"/>
      <c r="O109" s="56"/>
      <c r="P109" s="57"/>
      <c r="Q109" s="37"/>
    </row>
    <row r="110" spans="1:17" x14ac:dyDescent="0.2">
      <c r="A110" s="1"/>
      <c r="B110" s="1"/>
      <c r="C110" s="1"/>
      <c r="D110" s="1"/>
      <c r="E110" s="1"/>
      <c r="F110" s="1"/>
      <c r="G110" s="55"/>
      <c r="H110" s="56"/>
      <c r="I110" s="56"/>
      <c r="J110" s="56"/>
      <c r="K110" s="56"/>
      <c r="L110" s="56"/>
      <c r="M110" s="56"/>
      <c r="N110" s="56"/>
      <c r="O110" s="56"/>
      <c r="P110" s="57"/>
      <c r="Q110" s="37"/>
    </row>
    <row r="111" spans="1:17" x14ac:dyDescent="0.2">
      <c r="A111" s="1"/>
      <c r="B111" s="1"/>
      <c r="C111" s="1"/>
      <c r="D111" s="1"/>
      <c r="E111" s="1"/>
      <c r="F111" s="1"/>
      <c r="G111" s="55"/>
      <c r="H111" s="56"/>
      <c r="I111" s="56"/>
      <c r="J111" s="56"/>
      <c r="K111" s="56"/>
      <c r="L111" s="56"/>
      <c r="M111" s="56"/>
      <c r="N111" s="56"/>
      <c r="O111" s="56"/>
      <c r="P111" s="57"/>
      <c r="Q111" s="37"/>
    </row>
    <row r="112" spans="1:17" x14ac:dyDescent="0.2">
      <c r="A112" s="1"/>
      <c r="B112" s="1"/>
      <c r="C112" s="1"/>
      <c r="D112" s="1"/>
      <c r="E112" s="1"/>
      <c r="F112" s="1"/>
      <c r="G112" s="55"/>
      <c r="H112" s="56"/>
      <c r="I112" s="56"/>
      <c r="J112" s="56"/>
      <c r="K112" s="56"/>
      <c r="L112" s="56"/>
      <c r="M112" s="56"/>
      <c r="N112" s="56"/>
      <c r="O112" s="56"/>
      <c r="P112" s="57"/>
      <c r="Q112" s="37"/>
    </row>
    <row r="113" spans="1:17" x14ac:dyDescent="0.2">
      <c r="A113" s="1"/>
      <c r="B113" s="1"/>
      <c r="C113" s="1"/>
      <c r="D113" s="1"/>
      <c r="E113" s="1"/>
      <c r="F113" s="1"/>
      <c r="G113" s="55"/>
      <c r="H113" s="56"/>
      <c r="I113" s="56"/>
      <c r="J113" s="56"/>
      <c r="K113" s="56"/>
      <c r="L113" s="56"/>
      <c r="M113" s="56"/>
      <c r="N113" s="56"/>
      <c r="O113" s="56"/>
      <c r="P113" s="57"/>
      <c r="Q113" s="37"/>
    </row>
    <row r="114" spans="1:17" x14ac:dyDescent="0.2">
      <c r="A114" s="1"/>
      <c r="B114" s="1"/>
      <c r="C114" s="1"/>
      <c r="D114" s="1"/>
      <c r="E114" s="1"/>
      <c r="F114" s="1"/>
      <c r="G114" s="55"/>
      <c r="H114" s="56"/>
      <c r="I114" s="56"/>
      <c r="J114" s="56"/>
      <c r="K114" s="56"/>
      <c r="L114" s="56"/>
      <c r="M114" s="56"/>
      <c r="N114" s="56"/>
      <c r="O114" s="56"/>
      <c r="P114" s="57"/>
      <c r="Q114" s="37"/>
    </row>
    <row r="115" spans="1:17" x14ac:dyDescent="0.2">
      <c r="A115" s="1"/>
      <c r="B115" s="1"/>
      <c r="C115" s="1"/>
      <c r="D115" s="1"/>
      <c r="E115" s="1"/>
      <c r="F115" s="1"/>
      <c r="G115" s="55"/>
      <c r="H115" s="56"/>
      <c r="I115" s="56"/>
      <c r="J115" s="56"/>
      <c r="K115" s="56"/>
      <c r="L115" s="56"/>
      <c r="M115" s="56"/>
      <c r="N115" s="56"/>
      <c r="O115" s="56"/>
      <c r="P115" s="57"/>
      <c r="Q115" s="37"/>
    </row>
    <row r="116" spans="1:17" x14ac:dyDescent="0.2">
      <c r="A116" s="1"/>
      <c r="B116" s="1"/>
      <c r="C116" s="1"/>
      <c r="D116" s="1"/>
      <c r="E116" s="1"/>
      <c r="F116" s="1"/>
      <c r="G116" s="55"/>
      <c r="H116" s="56"/>
      <c r="I116" s="56"/>
      <c r="J116" s="56"/>
      <c r="K116" s="56"/>
      <c r="L116" s="56"/>
      <c r="M116" s="56"/>
      <c r="N116" s="56"/>
      <c r="O116" s="56"/>
      <c r="P116" s="57"/>
      <c r="Q116" s="37"/>
    </row>
    <row r="117" spans="1:17" x14ac:dyDescent="0.2">
      <c r="A117" s="1"/>
      <c r="B117" s="1"/>
      <c r="C117" s="1"/>
      <c r="D117" s="1"/>
      <c r="E117" s="1"/>
      <c r="F117" s="1"/>
      <c r="G117" s="55"/>
      <c r="H117" s="56"/>
      <c r="I117" s="56"/>
      <c r="J117" s="56"/>
      <c r="K117" s="56"/>
      <c r="L117" s="56"/>
      <c r="M117" s="56"/>
      <c r="N117" s="56"/>
      <c r="O117" s="56"/>
      <c r="P117" s="57"/>
      <c r="Q117" s="37"/>
    </row>
    <row r="118" spans="1:17" x14ac:dyDescent="0.2">
      <c r="F118" s="2"/>
      <c r="H118" s="37"/>
      <c r="I118" s="37"/>
      <c r="J118" s="37"/>
      <c r="K118" s="37"/>
      <c r="L118" s="37"/>
      <c r="M118" s="37"/>
      <c r="N118" s="37"/>
      <c r="O118" s="37"/>
      <c r="P118" s="44"/>
      <c r="Q118" s="37"/>
    </row>
    <row r="119" spans="1:17" x14ac:dyDescent="0.2">
      <c r="F119" s="2"/>
      <c r="H119" s="37"/>
      <c r="I119" s="37"/>
      <c r="J119" s="37"/>
      <c r="K119" s="37"/>
      <c r="L119" s="37"/>
      <c r="M119" s="37"/>
      <c r="N119" s="37"/>
      <c r="O119" s="37"/>
      <c r="P119" s="44"/>
      <c r="Q119" s="37"/>
    </row>
    <row r="120" spans="1:17" x14ac:dyDescent="0.2">
      <c r="G120" s="37"/>
      <c r="H120" s="37"/>
      <c r="I120" s="37"/>
      <c r="J120" s="37"/>
      <c r="K120" s="37"/>
      <c r="L120" s="37"/>
      <c r="M120" s="37"/>
      <c r="N120" s="37"/>
      <c r="O120" s="44"/>
      <c r="P120" s="37"/>
    </row>
    <row r="121" spans="1:17" x14ac:dyDescent="0.2">
      <c r="G121" s="37"/>
      <c r="H121" s="37"/>
      <c r="I121" s="37"/>
      <c r="J121" s="37"/>
      <c r="K121" s="37"/>
      <c r="L121" s="37"/>
      <c r="M121" s="37"/>
      <c r="N121" s="37"/>
      <c r="O121" s="44"/>
      <c r="P121" s="37"/>
    </row>
    <row r="122" spans="1:17" x14ac:dyDescent="0.2">
      <c r="G122" s="37"/>
      <c r="H122" s="37"/>
      <c r="I122" s="37"/>
      <c r="J122" s="37"/>
      <c r="K122" s="37"/>
      <c r="L122" s="37"/>
      <c r="M122" s="37"/>
      <c r="N122" s="37"/>
      <c r="O122" s="44"/>
      <c r="P122" s="37"/>
    </row>
    <row r="123" spans="1:17" x14ac:dyDescent="0.2">
      <c r="G123" s="37"/>
      <c r="H123" s="37"/>
      <c r="I123" s="37"/>
      <c r="J123" s="37"/>
      <c r="K123" s="37"/>
      <c r="L123" s="37"/>
      <c r="M123" s="37"/>
      <c r="N123" s="37"/>
      <c r="O123" s="44"/>
      <c r="P123" s="37"/>
    </row>
    <row r="124" spans="1:17" x14ac:dyDescent="0.2">
      <c r="G124" s="37"/>
      <c r="H124" s="37"/>
      <c r="I124" s="37"/>
      <c r="J124" s="37"/>
      <c r="K124" s="37"/>
      <c r="L124" s="37"/>
      <c r="M124" s="37"/>
      <c r="N124" s="37"/>
      <c r="O124" s="44"/>
      <c r="P124" s="37"/>
    </row>
    <row r="125" spans="1:17" x14ac:dyDescent="0.2">
      <c r="G125" s="37"/>
      <c r="H125" s="37"/>
      <c r="I125" s="37"/>
      <c r="J125" s="37"/>
      <c r="K125" s="37"/>
      <c r="L125" s="37"/>
      <c r="M125" s="37"/>
      <c r="N125" s="37"/>
      <c r="O125" s="44"/>
      <c r="P125" s="37"/>
    </row>
    <row r="126" spans="1:17" x14ac:dyDescent="0.2">
      <c r="G126" s="37"/>
      <c r="H126" s="37"/>
      <c r="I126" s="37"/>
      <c r="J126" s="37"/>
      <c r="K126" s="37"/>
      <c r="L126" s="37"/>
      <c r="M126" s="37"/>
      <c r="N126" s="37"/>
      <c r="O126" s="44"/>
      <c r="P126" s="37"/>
    </row>
  </sheetData>
  <mergeCells count="42">
    <mergeCell ref="E23:F23"/>
    <mergeCell ref="E24:F24"/>
    <mergeCell ref="E19:F19"/>
    <mergeCell ref="E20:F20"/>
    <mergeCell ref="E21:F21"/>
    <mergeCell ref="E22:F22"/>
    <mergeCell ref="E14:F14"/>
    <mergeCell ref="E15:F15"/>
    <mergeCell ref="E16:F16"/>
    <mergeCell ref="E17:F17"/>
    <mergeCell ref="E18:F18"/>
    <mergeCell ref="C22:D22"/>
    <mergeCell ref="C23:D23"/>
    <mergeCell ref="C24:D24"/>
    <mergeCell ref="C4:D4"/>
    <mergeCell ref="E4:F4"/>
    <mergeCell ref="E5:F5"/>
    <mergeCell ref="E6:F6"/>
    <mergeCell ref="C5:D5"/>
    <mergeCell ref="C6:D6"/>
    <mergeCell ref="E7:F7"/>
    <mergeCell ref="E8:F8"/>
    <mergeCell ref="E9:F9"/>
    <mergeCell ref="E10:F10"/>
    <mergeCell ref="E11:F11"/>
    <mergeCell ref="E12:F12"/>
    <mergeCell ref="E13:F13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C7:D7"/>
    <mergeCell ref="C8:D8"/>
    <mergeCell ref="C9:D9"/>
    <mergeCell ref="C10:D10"/>
    <mergeCell ref="C11:D11"/>
  </mergeCells>
  <phoneticPr fontId="0" type="noConversion"/>
  <pageMargins left="0.75" right="0.75" top="0.51" bottom="0.48" header="0.5" footer="0.5"/>
  <pageSetup paperSize="9" scale="25" orientation="landscape" horizontalDpi="300" verticalDpi="300" r:id="rId3"/>
  <headerFooter alignWithMargins="0">
    <oddFooter>&amp;LCR - &amp;D &amp;T&amp;R&amp;F  -  &amp;A</oddFooter>
  </headerFooter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1">
    <pageSetUpPr fitToPage="1"/>
  </sheetPr>
  <dimension ref="A1:Z133"/>
  <sheetViews>
    <sheetView showFormulas="1" zoomScale="50" workbookViewId="0">
      <selection activeCell="R71" sqref="R71"/>
    </sheetView>
  </sheetViews>
  <sheetFormatPr defaultRowHeight="12.75" x14ac:dyDescent="0.2"/>
  <cols>
    <col min="1" max="5" width="10" style="2" customWidth="1"/>
    <col min="6" max="7" width="10" customWidth="1"/>
    <col min="8" max="10" width="8.5703125" customWidth="1"/>
    <col min="11" max="11" width="12.28515625" customWidth="1"/>
    <col min="12" max="12" width="11.140625" customWidth="1"/>
    <col min="13" max="14" width="8.5703125" customWidth="1"/>
    <col min="15" max="15" width="8.5703125" style="39" customWidth="1"/>
    <col min="17" max="17" width="6.140625" customWidth="1"/>
    <col min="18" max="18" width="29.5703125" customWidth="1"/>
    <col min="19" max="19" width="6.42578125" customWidth="1"/>
    <col min="20" max="26" width="9.7109375" customWidth="1"/>
  </cols>
  <sheetData>
    <row r="1" spans="1:15" x14ac:dyDescent="0.2">
      <c r="A1" s="8" t="s">
        <v>67</v>
      </c>
    </row>
    <row r="4" spans="1:15" s="31" customFormat="1" ht="41.25" customHeight="1" x14ac:dyDescent="0.2">
      <c r="A4" s="38" t="s">
        <v>1</v>
      </c>
      <c r="B4" s="38" t="s">
        <v>2</v>
      </c>
      <c r="C4" s="100" t="s">
        <v>49</v>
      </c>
      <c r="D4" s="101"/>
      <c r="E4" s="100" t="s">
        <v>50</v>
      </c>
      <c r="F4" s="101"/>
      <c r="O4" s="48"/>
    </row>
    <row r="5" spans="1:15" x14ac:dyDescent="0.2">
      <c r="A5" s="49">
        <v>2005</v>
      </c>
      <c r="B5" s="23" t="s">
        <v>4</v>
      </c>
      <c r="C5" s="96">
        <v>2250</v>
      </c>
      <c r="D5" s="97"/>
      <c r="E5" s="96">
        <v>3200</v>
      </c>
      <c r="F5" s="97"/>
    </row>
    <row r="6" spans="1:15" x14ac:dyDescent="0.2">
      <c r="A6" s="49"/>
      <c r="B6" s="23" t="s">
        <v>48</v>
      </c>
      <c r="C6" s="96">
        <v>1737</v>
      </c>
      <c r="D6" s="97"/>
      <c r="E6" s="96">
        <v>7658</v>
      </c>
      <c r="F6" s="97"/>
    </row>
    <row r="7" spans="1:15" x14ac:dyDescent="0.2">
      <c r="A7" s="49"/>
      <c r="B7" s="23" t="s">
        <v>5</v>
      </c>
      <c r="C7" s="96">
        <v>2412</v>
      </c>
      <c r="D7" s="97"/>
      <c r="E7" s="96">
        <v>4420</v>
      </c>
      <c r="F7" s="97"/>
    </row>
    <row r="8" spans="1:15" x14ac:dyDescent="0.2">
      <c r="A8" s="49"/>
      <c r="B8" s="23" t="s">
        <v>3</v>
      </c>
      <c r="C8" s="96">
        <v>7269</v>
      </c>
      <c r="D8" s="97"/>
      <c r="E8" s="96">
        <v>2384</v>
      </c>
      <c r="F8" s="97"/>
    </row>
    <row r="9" spans="1:15" x14ac:dyDescent="0.2">
      <c r="A9" s="49">
        <v>2006</v>
      </c>
      <c r="B9" s="23" t="s">
        <v>4</v>
      </c>
      <c r="C9" s="96">
        <v>3514</v>
      </c>
      <c r="D9" s="97"/>
      <c r="E9" s="96">
        <v>3654</v>
      </c>
      <c r="F9" s="97"/>
    </row>
    <row r="10" spans="1:15" x14ac:dyDescent="0.2">
      <c r="A10" s="49"/>
      <c r="B10" s="23" t="s">
        <v>48</v>
      </c>
      <c r="C10" s="96">
        <v>2143</v>
      </c>
      <c r="D10" s="97"/>
      <c r="E10" s="96">
        <v>8680</v>
      </c>
      <c r="F10" s="97"/>
    </row>
    <row r="11" spans="1:15" x14ac:dyDescent="0.2">
      <c r="A11" s="49"/>
      <c r="B11" s="23" t="s">
        <v>5</v>
      </c>
      <c r="C11" s="96">
        <v>3459</v>
      </c>
      <c r="D11" s="97"/>
      <c r="E11" s="96">
        <v>5695</v>
      </c>
      <c r="F11" s="97"/>
    </row>
    <row r="12" spans="1:15" x14ac:dyDescent="0.2">
      <c r="A12" s="49"/>
      <c r="B12" s="23" t="s">
        <v>3</v>
      </c>
      <c r="C12" s="96">
        <v>7056</v>
      </c>
      <c r="D12" s="97"/>
      <c r="E12" s="96">
        <v>1953</v>
      </c>
      <c r="F12" s="97"/>
    </row>
    <row r="13" spans="1:15" x14ac:dyDescent="0.2">
      <c r="A13" s="49">
        <v>2007</v>
      </c>
      <c r="B13" s="23" t="s">
        <v>4</v>
      </c>
      <c r="C13" s="96">
        <v>4120</v>
      </c>
      <c r="D13" s="97"/>
      <c r="E13" s="96">
        <v>4742</v>
      </c>
      <c r="F13" s="97"/>
    </row>
    <row r="14" spans="1:15" x14ac:dyDescent="0.2">
      <c r="A14" s="49"/>
      <c r="B14" s="23" t="s">
        <v>48</v>
      </c>
      <c r="C14" s="96">
        <v>2766</v>
      </c>
      <c r="D14" s="97"/>
      <c r="E14" s="96">
        <v>13673</v>
      </c>
      <c r="F14" s="97"/>
    </row>
    <row r="15" spans="1:15" x14ac:dyDescent="0.2">
      <c r="A15" s="49"/>
      <c r="B15" s="23" t="s">
        <v>5</v>
      </c>
      <c r="C15" s="96">
        <v>2556</v>
      </c>
      <c r="D15" s="97"/>
      <c r="E15" s="96">
        <v>6640</v>
      </c>
      <c r="F15" s="97"/>
    </row>
    <row r="16" spans="1:15" x14ac:dyDescent="0.2">
      <c r="A16" s="49"/>
      <c r="B16" s="23" t="s">
        <v>3</v>
      </c>
      <c r="C16" s="96">
        <v>8253</v>
      </c>
      <c r="D16" s="97"/>
      <c r="E16" s="96">
        <v>2737</v>
      </c>
      <c r="F16" s="97"/>
    </row>
    <row r="17" spans="1:18" x14ac:dyDescent="0.2">
      <c r="A17" s="49">
        <v>2008</v>
      </c>
      <c r="B17" s="23" t="s">
        <v>4</v>
      </c>
      <c r="C17" s="96">
        <v>5491</v>
      </c>
      <c r="D17" s="97"/>
      <c r="E17" s="96">
        <v>3486</v>
      </c>
      <c r="F17" s="97"/>
    </row>
    <row r="18" spans="1:18" x14ac:dyDescent="0.2">
      <c r="A18" s="49"/>
      <c r="B18" s="23" t="s">
        <v>48</v>
      </c>
      <c r="C18" s="96">
        <v>4382</v>
      </c>
      <c r="D18" s="97"/>
      <c r="E18" s="96">
        <v>13186</v>
      </c>
      <c r="F18" s="97"/>
      <c r="I18" s="7" t="s">
        <v>51</v>
      </c>
      <c r="J18" s="7" t="s">
        <v>34</v>
      </c>
    </row>
    <row r="19" spans="1:18" ht="13.5" thickBot="1" x14ac:dyDescent="0.25">
      <c r="A19" s="49"/>
      <c r="B19" s="23" t="s">
        <v>5</v>
      </c>
      <c r="C19" s="96">
        <v>4315</v>
      </c>
      <c r="D19" s="97"/>
      <c r="E19" s="96">
        <v>5448</v>
      </c>
      <c r="F19" s="97"/>
    </row>
    <row r="20" spans="1:18" ht="16.5" thickBot="1" x14ac:dyDescent="0.3">
      <c r="A20" s="49"/>
      <c r="B20" s="23" t="s">
        <v>3</v>
      </c>
      <c r="C20" s="96">
        <v>12035</v>
      </c>
      <c r="D20" s="97"/>
      <c r="E20" s="96">
        <v>3485</v>
      </c>
      <c r="F20" s="97"/>
      <c r="I20" s="61" t="s">
        <v>55</v>
      </c>
      <c r="J20" s="62" t="s">
        <v>54</v>
      </c>
      <c r="K20" s="85">
        <v>0.16700715114396364</v>
      </c>
    </row>
    <row r="21" spans="1:18" ht="16.5" thickBot="1" x14ac:dyDescent="0.3">
      <c r="A21" s="49">
        <v>2009</v>
      </c>
      <c r="B21" s="23" t="s">
        <v>4</v>
      </c>
      <c r="C21" s="96">
        <v>5648</v>
      </c>
      <c r="D21" s="97"/>
      <c r="E21" s="96">
        <v>7728</v>
      </c>
      <c r="F21" s="97"/>
      <c r="I21" s="61" t="s">
        <v>57</v>
      </c>
      <c r="J21" s="62" t="s">
        <v>54</v>
      </c>
      <c r="K21" s="85">
        <v>0.16100161872402641</v>
      </c>
    </row>
    <row r="22" spans="1:18" ht="16.5" thickBot="1" x14ac:dyDescent="0.3">
      <c r="A22" s="49"/>
      <c r="B22" s="23" t="s">
        <v>48</v>
      </c>
      <c r="C22" s="96">
        <v>3696</v>
      </c>
      <c r="D22" s="97"/>
      <c r="E22" s="96">
        <v>16591</v>
      </c>
      <c r="F22" s="97"/>
      <c r="I22" s="61" t="s">
        <v>58</v>
      </c>
      <c r="J22" s="62" t="s">
        <v>54</v>
      </c>
      <c r="K22" s="85">
        <v>-0.27691069464112811</v>
      </c>
    </row>
    <row r="23" spans="1:18" x14ac:dyDescent="0.2">
      <c r="A23" s="49"/>
      <c r="B23" s="23" t="s">
        <v>5</v>
      </c>
      <c r="C23" s="96">
        <v>4843</v>
      </c>
      <c r="D23" s="97"/>
      <c r="E23" s="96">
        <v>8236</v>
      </c>
      <c r="F23" s="97"/>
    </row>
    <row r="24" spans="1:18" x14ac:dyDescent="0.2">
      <c r="A24" s="50"/>
      <c r="B24" s="24" t="s">
        <v>3</v>
      </c>
      <c r="C24" s="98">
        <v>13097</v>
      </c>
      <c r="D24" s="99"/>
      <c r="E24" s="98">
        <v>3316</v>
      </c>
      <c r="F24" s="99"/>
      <c r="I24" s="68" t="s">
        <v>61</v>
      </c>
    </row>
    <row r="25" spans="1:18" x14ac:dyDescent="0.2">
      <c r="A25"/>
      <c r="B25"/>
      <c r="C25"/>
      <c r="D25"/>
      <c r="E25"/>
    </row>
    <row r="26" spans="1:18" x14ac:dyDescent="0.2">
      <c r="A26"/>
      <c r="B26"/>
      <c r="C26"/>
      <c r="D26"/>
      <c r="E26"/>
    </row>
    <row r="27" spans="1:18" ht="15.75" x14ac:dyDescent="0.25">
      <c r="A27" s="59" t="s">
        <v>53</v>
      </c>
      <c r="B27" s="51"/>
      <c r="F27" s="2"/>
      <c r="O27"/>
      <c r="P27" s="39"/>
    </row>
    <row r="28" spans="1:18" s="31" customFormat="1" ht="45.75" customHeight="1" x14ac:dyDescent="0.3">
      <c r="A28" s="30" t="s">
        <v>2</v>
      </c>
      <c r="B28" s="30" t="s">
        <v>6</v>
      </c>
      <c r="C28" s="30" t="s">
        <v>7</v>
      </c>
      <c r="D28" s="30" t="s">
        <v>46</v>
      </c>
      <c r="E28" s="30" t="s">
        <v>47</v>
      </c>
      <c r="F28" s="30" t="s">
        <v>8</v>
      </c>
      <c r="G28" s="32" t="s">
        <v>9</v>
      </c>
      <c r="H28" s="33"/>
      <c r="I28" s="30" t="s">
        <v>38</v>
      </c>
      <c r="J28" s="30" t="s">
        <v>39</v>
      </c>
      <c r="K28" s="30" t="s">
        <v>43</v>
      </c>
      <c r="L28" s="30" t="s">
        <v>40</v>
      </c>
      <c r="M28" s="30" t="s">
        <v>41</v>
      </c>
      <c r="N28" s="30" t="s">
        <v>45</v>
      </c>
      <c r="O28" s="30" t="s">
        <v>42</v>
      </c>
      <c r="P28" s="40" t="s">
        <v>44</v>
      </c>
      <c r="R28" s="8" t="s">
        <v>68</v>
      </c>
    </row>
    <row r="29" spans="1:18" x14ac:dyDescent="0.2">
      <c r="A29" s="46"/>
      <c r="B29" s="13"/>
      <c r="C29" s="78"/>
      <c r="D29" s="15">
        <f>S47</f>
        <v>3052.1637867647091</v>
      </c>
      <c r="E29" s="15">
        <f>S48</f>
        <v>313.12279411764678</v>
      </c>
      <c r="F29" s="17"/>
      <c r="G29" s="25"/>
      <c r="H29" s="34"/>
      <c r="I29" s="25"/>
      <c r="J29" s="25"/>
      <c r="K29" s="25"/>
      <c r="L29" s="25"/>
      <c r="M29" s="25"/>
      <c r="N29" s="25"/>
      <c r="O29" s="25"/>
      <c r="P29" s="41"/>
    </row>
    <row r="30" spans="1:18" x14ac:dyDescent="0.2">
      <c r="A30" s="46" t="s">
        <v>4</v>
      </c>
      <c r="B30" s="13">
        <v>1</v>
      </c>
      <c r="C30" s="78">
        <v>2250</v>
      </c>
      <c r="D30" s="15">
        <f t="shared" ref="D30:D49" si="0">alpha*(C30/F30)+(1-alpha)*(D29+E29)</f>
        <v>3344.7227637533365</v>
      </c>
      <c r="E30" s="15">
        <f t="shared" ref="E30:E49" si="1">beta*(D30-D29)+(1-beta)*E29</f>
        <v>311.06641240474482</v>
      </c>
      <c r="F30" s="17">
        <v>0.71210454719245853</v>
      </c>
      <c r="G30" s="25">
        <f t="shared" ref="G30:G49" si="2">(D29+E29)*F30</f>
        <v>2396.4358768520869</v>
      </c>
      <c r="H30" s="34"/>
      <c r="I30" s="25">
        <f t="shared" ref="I30:I49" si="3">G30-C30</f>
        <v>146.43587685208695</v>
      </c>
      <c r="J30" s="25">
        <f t="shared" ref="J30:J49" si="4">ABS(I30)</f>
        <v>146.43587685208695</v>
      </c>
      <c r="K30" s="25">
        <f>SUM($I$30:I30)</f>
        <v>146.43587685208695</v>
      </c>
      <c r="L30" s="25">
        <f>SUMSQ($I$30:I30)/B30</f>
        <v>21443.466029439573</v>
      </c>
      <c r="M30" s="25">
        <f>SUM($J$30:J30)/B30</f>
        <v>146.43587685208695</v>
      </c>
      <c r="N30" s="25">
        <f t="shared" ref="N30:N49" si="5">J30/C30*100</f>
        <v>6.5082611934260859</v>
      </c>
      <c r="O30" s="25">
        <f>AVERAGE($N$30:N30)</f>
        <v>6.5082611934260859</v>
      </c>
      <c r="P30" s="41">
        <f>SUM($I$30:I30)/M30</f>
        <v>1</v>
      </c>
    </row>
    <row r="31" spans="1:18" x14ac:dyDescent="0.2">
      <c r="A31" s="46" t="s">
        <v>48</v>
      </c>
      <c r="B31" s="13">
        <v>2</v>
      </c>
      <c r="C31" s="78">
        <v>1737</v>
      </c>
      <c r="D31" s="15">
        <f t="shared" si="0"/>
        <v>3650.1555392914211</v>
      </c>
      <c r="E31" s="15">
        <f t="shared" si="1"/>
        <v>310.50304871807884</v>
      </c>
      <c r="F31" s="17">
        <v>0.48257335014500286</v>
      </c>
      <c r="G31" s="25">
        <f t="shared" si="2"/>
        <v>1764.1864301624453</v>
      </c>
      <c r="H31" s="34"/>
      <c r="I31" s="25">
        <f t="shared" si="3"/>
        <v>27.186430162445276</v>
      </c>
      <c r="J31" s="25">
        <f t="shared" si="4"/>
        <v>27.186430162445276</v>
      </c>
      <c r="K31" s="25">
        <f>SUM($I$30:I31)</f>
        <v>173.62230701453223</v>
      </c>
      <c r="L31" s="25">
        <f>SUMSQ($I$30:I31)/B31</f>
        <v>11091.284007208544</v>
      </c>
      <c r="M31" s="25">
        <f>SUM($J$30:J31)/B31</f>
        <v>86.811153507266113</v>
      </c>
      <c r="N31" s="25">
        <f t="shared" si="5"/>
        <v>1.565137027198922</v>
      </c>
      <c r="O31" s="25">
        <f>AVERAGE($N$30:N31)</f>
        <v>4.0366991103125036</v>
      </c>
      <c r="P31" s="41">
        <f>SUM($I$30:I31)/M31</f>
        <v>2</v>
      </c>
      <c r="R31" t="s">
        <v>10</v>
      </c>
    </row>
    <row r="32" spans="1:18" ht="13.5" thickBot="1" x14ac:dyDescent="0.25">
      <c r="A32" s="46" t="s">
        <v>5</v>
      </c>
      <c r="B32" s="13">
        <v>3</v>
      </c>
      <c r="C32" s="78">
        <v>2412</v>
      </c>
      <c r="D32" s="15">
        <f t="shared" si="0"/>
        <v>3990.308806188466</v>
      </c>
      <c r="E32" s="15">
        <f t="shared" si="1"/>
        <v>313.46807053597541</v>
      </c>
      <c r="F32" s="17">
        <v>0.56657479724774162</v>
      </c>
      <c r="G32" s="25">
        <f t="shared" si="2"/>
        <v>2244.0093364690092</v>
      </c>
      <c r="H32" s="34"/>
      <c r="I32" s="25">
        <f t="shared" si="3"/>
        <v>-167.99066353099079</v>
      </c>
      <c r="J32" s="25">
        <f t="shared" si="4"/>
        <v>167.99066353099079</v>
      </c>
      <c r="K32" s="25">
        <f>SUM($I$30:I32)</f>
        <v>5.6316434835414384</v>
      </c>
      <c r="L32" s="25">
        <f>SUMSQ($I$30:I32)/B32</f>
        <v>16801.143682666549</v>
      </c>
      <c r="M32" s="25">
        <f>SUM($J$30:J32)/B32</f>
        <v>113.87099018184101</v>
      </c>
      <c r="N32" s="25">
        <f t="shared" si="5"/>
        <v>6.964787045231791</v>
      </c>
      <c r="O32" s="25">
        <f>AVERAGE($N$30:N32)</f>
        <v>5.0127284219522661</v>
      </c>
      <c r="P32" s="41">
        <f>SUM($I$30:I32)/M32</f>
        <v>4.9456349457822804E-2</v>
      </c>
    </row>
    <row r="33" spans="1:26" x14ac:dyDescent="0.2">
      <c r="A33" s="46" t="s">
        <v>3</v>
      </c>
      <c r="B33" s="13">
        <v>4</v>
      </c>
      <c r="C33" s="78">
        <v>7269</v>
      </c>
      <c r="D33" s="15">
        <f t="shared" si="0"/>
        <v>4362.5678877480832</v>
      </c>
      <c r="E33" s="15">
        <f t="shared" si="1"/>
        <v>319.3471716383396</v>
      </c>
      <c r="F33" s="17">
        <v>1.4859904199463365</v>
      </c>
      <c r="G33" s="25">
        <f t="shared" si="2"/>
        <v>6395.3712083990858</v>
      </c>
      <c r="H33" s="34"/>
      <c r="I33" s="25">
        <f t="shared" si="3"/>
        <v>-873.62879160091416</v>
      </c>
      <c r="J33" s="25">
        <f t="shared" si="4"/>
        <v>873.62879160091416</v>
      </c>
      <c r="K33" s="25">
        <f>SUM($I$30:I33)</f>
        <v>-867.99714811737272</v>
      </c>
      <c r="L33" s="25">
        <f>SUMSQ($I$30:I33)/B33</f>
        <v>203407.6741405183</v>
      </c>
      <c r="M33" s="25">
        <f>SUM($J$30:J33)/B33</f>
        <v>303.81044053660929</v>
      </c>
      <c r="N33" s="25">
        <f t="shared" si="5"/>
        <v>12.018555394152072</v>
      </c>
      <c r="O33" s="25">
        <f>AVERAGE($N$30:N33)</f>
        <v>6.7641851650022176</v>
      </c>
      <c r="P33" s="41">
        <f>SUM($I$30:I33)/M33</f>
        <v>-2.8570352835283113</v>
      </c>
      <c r="R33" s="6" t="s">
        <v>11</v>
      </c>
      <c r="S33" s="6"/>
    </row>
    <row r="34" spans="1:26" x14ac:dyDescent="0.2">
      <c r="A34" s="46" t="s">
        <v>4</v>
      </c>
      <c r="B34" s="13">
        <v>5</v>
      </c>
      <c r="C34" s="78">
        <v>3514</v>
      </c>
      <c r="D34" s="15">
        <f t="shared" si="0"/>
        <v>4709.9361256518596</v>
      </c>
      <c r="E34" s="15">
        <f t="shared" si="1"/>
        <v>322.14927826488326</v>
      </c>
      <c r="F34" s="17">
        <f t="shared" ref="F34:F53" si="6">gamma*(C30/D30)+(1-gamma)*F30</f>
        <v>0.70816424186745208</v>
      </c>
      <c r="G34" s="25">
        <f t="shared" si="2"/>
        <v>3315.5648285181928</v>
      </c>
      <c r="H34" s="34"/>
      <c r="I34" s="25">
        <f t="shared" si="3"/>
        <v>-198.43517148180717</v>
      </c>
      <c r="J34" s="25">
        <f t="shared" si="4"/>
        <v>198.43517148180717</v>
      </c>
      <c r="K34" s="25">
        <f>SUM($I$30:I34)</f>
        <v>-1066.4323195991799</v>
      </c>
      <c r="L34" s="25">
        <f>SUMSQ($I$30:I34)/B34</f>
        <v>170601.44276861747</v>
      </c>
      <c r="M34" s="25">
        <f>SUM($J$30:J34)/B34</f>
        <v>282.73538672564888</v>
      </c>
      <c r="N34" s="25">
        <f t="shared" si="5"/>
        <v>5.6469883745534197</v>
      </c>
      <c r="O34" s="25">
        <f>AVERAGE($N$30:N34)</f>
        <v>6.5407458069124571</v>
      </c>
      <c r="P34" s="41">
        <f>SUM($I$30:I34)/M34</f>
        <v>-3.7718388630072264</v>
      </c>
      <c r="R34" s="3" t="s">
        <v>12</v>
      </c>
      <c r="S34" s="3">
        <v>0.88755034535419997</v>
      </c>
    </row>
    <row r="35" spans="1:26" x14ac:dyDescent="0.2">
      <c r="A35" s="46" t="s">
        <v>48</v>
      </c>
      <c r="B35" s="13">
        <v>6</v>
      </c>
      <c r="C35" s="78">
        <v>2143</v>
      </c>
      <c r="D35" s="15">
        <f t="shared" si="0"/>
        <v>4973.5721390906629</v>
      </c>
      <c r="E35" s="15">
        <f t="shared" si="1"/>
        <v>316.29795178227528</v>
      </c>
      <c r="F35" s="17">
        <f t="shared" si="6"/>
        <v>0.48190302837698989</v>
      </c>
      <c r="G35" s="25">
        <f t="shared" si="2"/>
        <v>2424.9771951991265</v>
      </c>
      <c r="H35" s="34"/>
      <c r="I35" s="25">
        <f t="shared" si="3"/>
        <v>281.97719519912653</v>
      </c>
      <c r="J35" s="25">
        <f t="shared" si="4"/>
        <v>281.97719519912653</v>
      </c>
      <c r="K35" s="25">
        <f>SUM($I$30:I35)</f>
        <v>-784.45512440005336</v>
      </c>
      <c r="L35" s="25">
        <f>SUMSQ($I$30:I35)/B35</f>
        <v>155419.7254092423</v>
      </c>
      <c r="M35" s="25">
        <f>SUM($J$30:J35)/B35</f>
        <v>282.60902147122846</v>
      </c>
      <c r="N35" s="25">
        <f t="shared" si="5"/>
        <v>13.158058572054435</v>
      </c>
      <c r="O35" s="25">
        <f>AVERAGE($N$30:N35)</f>
        <v>7.6436312677694538</v>
      </c>
      <c r="P35" s="41">
        <f>SUM($I$30:I35)/M35</f>
        <v>-2.7757610861687101</v>
      </c>
      <c r="R35" s="3" t="s">
        <v>13</v>
      </c>
      <c r="S35" s="3">
        <v>0.78774561553835964</v>
      </c>
    </row>
    <row r="36" spans="1:26" x14ac:dyDescent="0.2">
      <c r="A36" s="46" t="s">
        <v>5</v>
      </c>
      <c r="B36" s="13">
        <v>7</v>
      </c>
      <c r="C36" s="78">
        <v>3459</v>
      </c>
      <c r="D36" s="15">
        <f t="shared" si="0"/>
        <v>5367.3381547758654</v>
      </c>
      <c r="E36" s="15">
        <f t="shared" si="1"/>
        <v>324.04475817256798</v>
      </c>
      <c r="F36" s="17">
        <f t="shared" si="6"/>
        <v>0.57036376708745462</v>
      </c>
      <c r="G36" s="25">
        <f t="shared" si="2"/>
        <v>3017.1502324335447</v>
      </c>
      <c r="H36" s="34"/>
      <c r="I36" s="25">
        <f t="shared" si="3"/>
        <v>-441.84976756645528</v>
      </c>
      <c r="J36" s="25">
        <f t="shared" si="4"/>
        <v>441.84976756645528</v>
      </c>
      <c r="K36" s="25">
        <f>SUM($I$30:I36)</f>
        <v>-1226.3048919665086</v>
      </c>
      <c r="L36" s="25">
        <f>SUMSQ($I$30:I36)/B36</f>
        <v>161107.08136485491</v>
      </c>
      <c r="M36" s="25">
        <f>SUM($J$30:J36)/B36</f>
        <v>305.35769948483227</v>
      </c>
      <c r="N36" s="25">
        <f t="shared" si="5"/>
        <v>12.773916379487</v>
      </c>
      <c r="O36" s="25">
        <f>AVERAGE($N$30:N36)</f>
        <v>8.3765291408719609</v>
      </c>
      <c r="P36" s="41">
        <f>SUM($I$30:I36)/M36</f>
        <v>-4.0159619162556002</v>
      </c>
      <c r="R36" s="3" t="s">
        <v>14</v>
      </c>
      <c r="S36" s="3">
        <v>0.77258458807681396</v>
      </c>
    </row>
    <row r="37" spans="1:26" x14ac:dyDescent="0.2">
      <c r="A37" s="46" t="s">
        <v>3</v>
      </c>
      <c r="B37" s="13">
        <v>8</v>
      </c>
      <c r="C37" s="78">
        <v>7056</v>
      </c>
      <c r="D37" s="15">
        <f t="shared" si="0"/>
        <v>5591.3893695622646</v>
      </c>
      <c r="E37" s="15">
        <f t="shared" si="1"/>
        <v>314.04540383395107</v>
      </c>
      <c r="F37" s="17">
        <f t="shared" si="6"/>
        <v>1.5040134268695979</v>
      </c>
      <c r="G37" s="25">
        <f t="shared" si="2"/>
        <v>8559.9163185306479</v>
      </c>
      <c r="H37" s="34"/>
      <c r="I37" s="25">
        <f t="shared" si="3"/>
        <v>1503.9163185306479</v>
      </c>
      <c r="J37" s="25">
        <f t="shared" si="4"/>
        <v>1503.9163185306479</v>
      </c>
      <c r="K37" s="25">
        <f>SUM($I$30:I37)</f>
        <v>277.61142656413926</v>
      </c>
      <c r="L37" s="25">
        <f>SUMSQ($I$30:I37)/B37</f>
        <v>423689.23283709522</v>
      </c>
      <c r="M37" s="25">
        <f>SUM($J$30:J37)/B37</f>
        <v>455.17752686555923</v>
      </c>
      <c r="N37" s="25">
        <f t="shared" si="5"/>
        <v>21.314006781896939</v>
      </c>
      <c r="O37" s="25">
        <f>AVERAGE($N$30:N37)</f>
        <v>9.9937138460000821</v>
      </c>
      <c r="P37" s="41">
        <f>SUM($I$30:I37)/M37</f>
        <v>0.6098970405587143</v>
      </c>
      <c r="R37" s="3" t="s">
        <v>15</v>
      </c>
      <c r="S37" s="3">
        <v>800.98698995985728</v>
      </c>
    </row>
    <row r="38" spans="1:26" ht="13.5" thickBot="1" x14ac:dyDescent="0.25">
      <c r="A38" s="46" t="s">
        <v>4</v>
      </c>
      <c r="B38" s="13">
        <v>9</v>
      </c>
      <c r="C38" s="78">
        <v>4120</v>
      </c>
      <c r="D38" s="15">
        <f t="shared" si="0"/>
        <v>5893.5787038894878</v>
      </c>
      <c r="E38" s="15">
        <f t="shared" si="1"/>
        <v>312.85979688327831</v>
      </c>
      <c r="F38" s="17">
        <f t="shared" si="6"/>
        <v>0.71195604815885716</v>
      </c>
      <c r="G38" s="25">
        <f t="shared" si="2"/>
        <v>4204.4100039270661</v>
      </c>
      <c r="H38" s="34"/>
      <c r="I38" s="25">
        <f t="shared" si="3"/>
        <v>84.4100039270661</v>
      </c>
      <c r="J38" s="25">
        <f t="shared" si="4"/>
        <v>84.4100039270661</v>
      </c>
      <c r="K38" s="25">
        <f>SUM($I$30:I38)</f>
        <v>362.02143049120536</v>
      </c>
      <c r="L38" s="25">
        <f>SUMSQ($I$30:I38)/B38</f>
        <v>377404.32349552546</v>
      </c>
      <c r="M38" s="25">
        <f>SUM($J$30:J38)/B38</f>
        <v>413.98113542794886</v>
      </c>
      <c r="N38" s="25">
        <f t="shared" si="5"/>
        <v>2.0487865030841284</v>
      </c>
      <c r="O38" s="25">
        <f>AVERAGE($N$30:N38)</f>
        <v>9.1109441412316432</v>
      </c>
      <c r="P38" s="41">
        <f>SUM($I$30:I38)/M38</f>
        <v>0.87448774716985433</v>
      </c>
      <c r="R38" s="4" t="s">
        <v>16</v>
      </c>
      <c r="S38" s="4">
        <v>16</v>
      </c>
    </row>
    <row r="39" spans="1:26" x14ac:dyDescent="0.2">
      <c r="A39" s="46" t="s">
        <v>48</v>
      </c>
      <c r="B39" s="13">
        <v>10</v>
      </c>
      <c r="C39" s="78">
        <v>2766</v>
      </c>
      <c r="D39" s="15">
        <f t="shared" si="0"/>
        <v>6165.9115298341094</v>
      </c>
      <c r="E39" s="15">
        <f t="shared" si="1"/>
        <v>308.80709978941263</v>
      </c>
      <c r="F39" s="17">
        <f t="shared" si="6"/>
        <v>0.47680046891706795</v>
      </c>
      <c r="G39" s="25">
        <f t="shared" si="2"/>
        <v>2959.2327874733992</v>
      </c>
      <c r="H39" s="34"/>
      <c r="I39" s="25">
        <f t="shared" si="3"/>
        <v>193.23278747339918</v>
      </c>
      <c r="J39" s="25">
        <f t="shared" si="4"/>
        <v>193.23278747339918</v>
      </c>
      <c r="K39" s="25">
        <f>SUM($I$30:I39)</f>
        <v>555.25421796460455</v>
      </c>
      <c r="L39" s="25">
        <f>SUMSQ($I$30:I39)/B39</f>
        <v>343397.78216144687</v>
      </c>
      <c r="M39" s="25">
        <f>SUM($J$30:J39)/B39</f>
        <v>391.90630063249392</v>
      </c>
      <c r="N39" s="25">
        <f t="shared" si="5"/>
        <v>6.986000993253767</v>
      </c>
      <c r="O39" s="25">
        <f>AVERAGE($N$30:N39)</f>
        <v>8.8984498264338558</v>
      </c>
      <c r="P39" s="41">
        <f>SUM($I$30:I39)/M39</f>
        <v>1.4168034988681859</v>
      </c>
    </row>
    <row r="40" spans="1:26" ht="13.5" thickBot="1" x14ac:dyDescent="0.25">
      <c r="A40" s="46" t="s">
        <v>5</v>
      </c>
      <c r="B40" s="13">
        <v>11</v>
      </c>
      <c r="C40" s="78">
        <v>2556</v>
      </c>
      <c r="D40" s="15">
        <f t="shared" si="0"/>
        <v>6269.6352370391041</v>
      </c>
      <c r="E40" s="15">
        <f t="shared" si="1"/>
        <v>288.29876053097087</v>
      </c>
      <c r="F40" s="17">
        <f t="shared" si="6"/>
        <v>0.57777274299585668</v>
      </c>
      <c r="G40" s="25">
        <f t="shared" si="2"/>
        <v>3740.9159427639565</v>
      </c>
      <c r="H40" s="34"/>
      <c r="I40" s="25">
        <f t="shared" si="3"/>
        <v>1184.9159427639565</v>
      </c>
      <c r="J40" s="25">
        <f t="shared" si="4"/>
        <v>1184.9159427639565</v>
      </c>
      <c r="K40" s="25">
        <f>SUM($I$30:I40)</f>
        <v>1740.1701607285611</v>
      </c>
      <c r="L40" s="25">
        <f>SUMSQ($I$30:I40)/B40</f>
        <v>439818.51027551497</v>
      </c>
      <c r="M40" s="25">
        <f>SUM($J$30:J40)/B40</f>
        <v>463.99808628080876</v>
      </c>
      <c r="N40" s="25">
        <f t="shared" si="5"/>
        <v>46.358213723159494</v>
      </c>
      <c r="O40" s="25">
        <f>AVERAGE($N$30:N40)</f>
        <v>12.303882907954367</v>
      </c>
      <c r="P40" s="41">
        <f>SUM($I$30:I40)/M40</f>
        <v>3.7503821937649562</v>
      </c>
      <c r="R40" t="s">
        <v>17</v>
      </c>
    </row>
    <row r="41" spans="1:26" x14ac:dyDescent="0.2">
      <c r="A41" s="46" t="s">
        <v>3</v>
      </c>
      <c r="B41" s="13">
        <v>12</v>
      </c>
      <c r="C41" s="78">
        <v>8253</v>
      </c>
      <c r="D41" s="15">
        <f t="shared" si="0"/>
        <v>6459.8487920727321</v>
      </c>
      <c r="E41" s="15">
        <f t="shared" si="1"/>
        <v>278.49023998123658</v>
      </c>
      <c r="F41" s="17">
        <f t="shared" si="6"/>
        <v>1.4798061217220484</v>
      </c>
      <c r="G41" s="25">
        <f t="shared" si="2"/>
        <v>9704.4708754533422</v>
      </c>
      <c r="H41" s="34"/>
      <c r="I41" s="25">
        <f t="shared" si="3"/>
        <v>1451.4708754533422</v>
      </c>
      <c r="J41" s="25">
        <f t="shared" si="4"/>
        <v>1451.4708754533422</v>
      </c>
      <c r="K41" s="25">
        <f>SUM($I$30:I41)</f>
        <v>3191.6410361819035</v>
      </c>
      <c r="L41" s="25">
        <f>SUMSQ($I$30:I41)/B41</f>
        <v>578730.94294332969</v>
      </c>
      <c r="M41" s="25">
        <f>SUM($J$30:J41)/B41</f>
        <v>546.28748537851982</v>
      </c>
      <c r="N41" s="25">
        <f t="shared" si="5"/>
        <v>17.587191026939806</v>
      </c>
      <c r="O41" s="25">
        <f>AVERAGE($N$30:N41)</f>
        <v>12.744158584536487</v>
      </c>
      <c r="P41" s="41">
        <f>SUM($I$30:I41)/M41</f>
        <v>5.8424201937747702</v>
      </c>
      <c r="R41" s="5"/>
      <c r="S41" s="5" t="s">
        <v>21</v>
      </c>
      <c r="T41" s="5" t="s">
        <v>22</v>
      </c>
      <c r="U41" s="5" t="s">
        <v>23</v>
      </c>
      <c r="V41" s="5" t="s">
        <v>24</v>
      </c>
      <c r="W41" s="5" t="s">
        <v>25</v>
      </c>
    </row>
    <row r="42" spans="1:26" x14ac:dyDescent="0.2">
      <c r="A42" s="46" t="s">
        <v>4</v>
      </c>
      <c r="B42" s="13">
        <v>13</v>
      </c>
      <c r="C42" s="78">
        <v>5491</v>
      </c>
      <c r="D42" s="15">
        <f t="shared" si="0"/>
        <v>6837.1595126001885</v>
      </c>
      <c r="E42" s="15">
        <f t="shared" si="1"/>
        <v>288.37228803585856</v>
      </c>
      <c r="F42" s="17">
        <f t="shared" si="6"/>
        <v>0.71066703502522033</v>
      </c>
      <c r="G42" s="25">
        <f t="shared" si="2"/>
        <v>4788.7154209045066</v>
      </c>
      <c r="H42" s="34"/>
      <c r="I42" s="25">
        <f t="shared" si="3"/>
        <v>-702.28457909549343</v>
      </c>
      <c r="J42" s="25">
        <f t="shared" si="4"/>
        <v>702.28457909549343</v>
      </c>
      <c r="K42" s="25">
        <f>SUM($I$30:I42)</f>
        <v>2489.35645708641</v>
      </c>
      <c r="L42" s="25">
        <f>SUMSQ($I$30:I42)/B42</f>
        <v>572151.9188734839</v>
      </c>
      <c r="M42" s="25">
        <f>SUM($J$30:J42)/B42</f>
        <v>558.28726181828711</v>
      </c>
      <c r="N42" s="25">
        <f t="shared" si="5"/>
        <v>12.789739193143207</v>
      </c>
      <c r="O42" s="25">
        <f>AVERAGE($N$30:N42)</f>
        <v>12.747664785198545</v>
      </c>
      <c r="P42" s="41">
        <f>SUM($I$30:I42)/M42</f>
        <v>4.4589168109958646</v>
      </c>
      <c r="R42" s="3" t="s">
        <v>18</v>
      </c>
      <c r="S42" s="3">
        <v>1</v>
      </c>
      <c r="T42" s="3">
        <v>33335600.626654416</v>
      </c>
      <c r="U42" s="3">
        <v>33335600.626654416</v>
      </c>
      <c r="V42" s="3">
        <v>51.958590374985384</v>
      </c>
      <c r="W42" s="3">
        <v>4.5068000364301618E-6</v>
      </c>
    </row>
    <row r="43" spans="1:26" x14ac:dyDescent="0.2">
      <c r="A43" s="46" t="s">
        <v>48</v>
      </c>
      <c r="B43" s="13">
        <v>14</v>
      </c>
      <c r="C43" s="78">
        <v>4382</v>
      </c>
      <c r="D43" s="15">
        <f t="shared" si="0"/>
        <v>7337.4902631461728</v>
      </c>
      <c r="E43" s="15">
        <f t="shared" si="1"/>
        <v>309.56813428687116</v>
      </c>
      <c r="F43" s="17">
        <f t="shared" si="6"/>
        <v>0.47397996933830189</v>
      </c>
      <c r="G43" s="25">
        <f t="shared" si="2"/>
        <v>3377.3593443845684</v>
      </c>
      <c r="H43" s="34"/>
      <c r="I43" s="25">
        <f t="shared" si="3"/>
        <v>-1004.6406556154316</v>
      </c>
      <c r="J43" s="25">
        <f t="shared" si="4"/>
        <v>1004.6406556154316</v>
      </c>
      <c r="K43" s="25">
        <f>SUM($I$30:I43)</f>
        <v>1484.7158014709785</v>
      </c>
      <c r="L43" s="25">
        <f>SUMSQ($I$30:I43)/B43</f>
        <v>603376.98516219237</v>
      </c>
      <c r="M43" s="25">
        <f>SUM($J$30:J43)/B43</f>
        <v>590.16964708951161</v>
      </c>
      <c r="N43" s="25">
        <f t="shared" si="5"/>
        <v>22.926532533442071</v>
      </c>
      <c r="O43" s="25">
        <f>AVERAGE($N$30:N43)</f>
        <v>13.474726767215939</v>
      </c>
      <c r="P43" s="41">
        <f>SUM($I$30:I43)/M43</f>
        <v>2.5157440895054877</v>
      </c>
      <c r="R43" s="3" t="s">
        <v>19</v>
      </c>
      <c r="S43" s="3">
        <v>14</v>
      </c>
      <c r="T43" s="3">
        <v>8982122.2131893355</v>
      </c>
      <c r="U43" s="3">
        <v>641580.15808495251</v>
      </c>
      <c r="V43" s="3"/>
      <c r="W43" s="3"/>
    </row>
    <row r="44" spans="1:26" ht="13.5" thickBot="1" x14ac:dyDescent="0.25">
      <c r="A44" s="46" t="s">
        <v>5</v>
      </c>
      <c r="B44" s="13">
        <v>15</v>
      </c>
      <c r="C44" s="78">
        <v>4315</v>
      </c>
      <c r="D44" s="15">
        <f t="shared" si="0"/>
        <v>7651.8393094952189</v>
      </c>
      <c r="E44" s="15">
        <f t="shared" si="1"/>
        <v>310.04622549308868</v>
      </c>
      <c r="F44" s="17">
        <f t="shared" si="6"/>
        <v>0.56076339064649749</v>
      </c>
      <c r="G44" s="25">
        <f t="shared" si="2"/>
        <v>4288.1903954163254</v>
      </c>
      <c r="H44" s="34"/>
      <c r="I44" s="25">
        <f t="shared" si="3"/>
        <v>-26.809604583674627</v>
      </c>
      <c r="J44" s="25">
        <f t="shared" si="4"/>
        <v>26.809604583674627</v>
      </c>
      <c r="K44" s="25">
        <f>SUM($I$30:I44)</f>
        <v>1457.9061968873038</v>
      </c>
      <c r="L44" s="25">
        <f>SUMSQ($I$30:I44)/B44</f>
        <v>563199.76981124177</v>
      </c>
      <c r="M44" s="25">
        <f>SUM($J$30:J44)/B44</f>
        <v>552.61231092245578</v>
      </c>
      <c r="N44" s="25">
        <f t="shared" si="5"/>
        <v>0.62131180958689747</v>
      </c>
      <c r="O44" s="25">
        <f>AVERAGE($N$30:N44)</f>
        <v>12.617832436707337</v>
      </c>
      <c r="P44" s="41">
        <f>SUM($I$30:I44)/M44</f>
        <v>2.6382079589462522</v>
      </c>
      <c r="R44" s="4" t="s">
        <v>0</v>
      </c>
      <c r="S44" s="4">
        <v>15</v>
      </c>
      <c r="T44" s="4">
        <v>42317722.83984375</v>
      </c>
      <c r="U44" s="4"/>
      <c r="V44" s="4"/>
      <c r="W44" s="4"/>
    </row>
    <row r="45" spans="1:26" ht="13.5" thickBot="1" x14ac:dyDescent="0.25">
      <c r="A45" s="46" t="s">
        <v>3</v>
      </c>
      <c r="B45" s="13">
        <v>16</v>
      </c>
      <c r="C45" s="78">
        <v>12035</v>
      </c>
      <c r="D45" s="15">
        <f t="shared" si="0"/>
        <v>7990.2470366267089</v>
      </c>
      <c r="E45" s="15">
        <f t="shared" si="1"/>
        <v>312.88237565692884</v>
      </c>
      <c r="F45" s="17">
        <f t="shared" si="6"/>
        <v>1.4595839179219987</v>
      </c>
      <c r="G45" s="25">
        <f t="shared" si="2"/>
        <v>11621.040083204723</v>
      </c>
      <c r="H45" s="34"/>
      <c r="I45" s="25">
        <f t="shared" si="3"/>
        <v>-413.95991679527651</v>
      </c>
      <c r="J45" s="25">
        <f t="shared" si="4"/>
        <v>413.95991679527651</v>
      </c>
      <c r="K45" s="25">
        <f>SUM($I$30:I45)</f>
        <v>1043.9462800920273</v>
      </c>
      <c r="L45" s="25">
        <f>SUMSQ($I$30:I45)/B45</f>
        <v>538709.9599926112</v>
      </c>
      <c r="M45" s="25">
        <f>SUM($J$30:J45)/B45</f>
        <v>543.94653628950709</v>
      </c>
      <c r="N45" s="25">
        <f t="shared" si="5"/>
        <v>3.4396337083113959</v>
      </c>
      <c r="O45" s="25">
        <f>AVERAGE($N$30:N45)</f>
        <v>12.04419501618259</v>
      </c>
      <c r="P45" s="41">
        <f>SUM($I$30:I45)/M45</f>
        <v>1.9192075147922316</v>
      </c>
    </row>
    <row r="46" spans="1:26" x14ac:dyDescent="0.2">
      <c r="A46" s="46" t="s">
        <v>4</v>
      </c>
      <c r="B46" s="13">
        <v>17</v>
      </c>
      <c r="C46" s="78">
        <v>5648</v>
      </c>
      <c r="D46" s="15">
        <f t="shared" si="0"/>
        <v>8257.357391608437</v>
      </c>
      <c r="E46" s="15">
        <f t="shared" si="1"/>
        <v>308.30517358940875</v>
      </c>
      <c r="F46" s="17">
        <f t="shared" si="6"/>
        <v>0.71991146057973798</v>
      </c>
      <c r="G46" s="25">
        <f t="shared" si="2"/>
        <v>5977.5180225796948</v>
      </c>
      <c r="H46" s="34"/>
      <c r="I46" s="25">
        <f t="shared" si="3"/>
        <v>329.51802257969484</v>
      </c>
      <c r="J46" s="25">
        <f t="shared" si="4"/>
        <v>329.51802257969484</v>
      </c>
      <c r="K46" s="25">
        <f>SUM($I$30:I46)</f>
        <v>1373.4643026717222</v>
      </c>
      <c r="L46" s="25">
        <f>SUMSQ($I$30:I46)/B46</f>
        <v>513408.32276980067</v>
      </c>
      <c r="M46" s="25">
        <f>SUM($J$30:J46)/B46</f>
        <v>531.33309430657687</v>
      </c>
      <c r="N46" s="25">
        <f t="shared" si="5"/>
        <v>5.8342426094138604</v>
      </c>
      <c r="O46" s="25">
        <f>AVERAGE($N$30:N46)</f>
        <v>11.67890369813737</v>
      </c>
      <c r="P46" s="41">
        <f>SUM($I$30:I46)/M46</f>
        <v>2.5849402519603633</v>
      </c>
      <c r="R46" s="5"/>
      <c r="S46" s="5" t="s">
        <v>26</v>
      </c>
      <c r="T46" s="5" t="s">
        <v>15</v>
      </c>
      <c r="U46" s="5" t="s">
        <v>27</v>
      </c>
      <c r="V46" s="5" t="s">
        <v>28</v>
      </c>
      <c r="W46" s="5" t="s">
        <v>29</v>
      </c>
      <c r="X46" s="5" t="s">
        <v>30</v>
      </c>
      <c r="Y46" s="5" t="s">
        <v>31</v>
      </c>
      <c r="Z46" s="5" t="s">
        <v>32</v>
      </c>
    </row>
    <row r="47" spans="1:26" x14ac:dyDescent="0.2">
      <c r="A47" s="46" t="s">
        <v>48</v>
      </c>
      <c r="B47" s="13">
        <v>18</v>
      </c>
      <c r="C47" s="78">
        <v>3696</v>
      </c>
      <c r="D47" s="15">
        <f t="shared" si="0"/>
        <v>8469.1168198639025</v>
      </c>
      <c r="E47" s="15">
        <f t="shared" si="1"/>
        <v>298.65059905601441</v>
      </c>
      <c r="F47" s="17">
        <f t="shared" si="6"/>
        <v>0.48630266494166474</v>
      </c>
      <c r="G47" s="25">
        <f t="shared" si="2"/>
        <v>4165.5045324467692</v>
      </c>
      <c r="H47" s="34"/>
      <c r="I47" s="25">
        <f t="shared" si="3"/>
        <v>469.50453244676919</v>
      </c>
      <c r="J47" s="25">
        <f t="shared" si="4"/>
        <v>469.50453244676919</v>
      </c>
      <c r="K47" s="25">
        <f>SUM($I$30:I47)</f>
        <v>1842.9688351184914</v>
      </c>
      <c r="L47" s="25">
        <f>SUMSQ($I$30:I47)/B47</f>
        <v>497131.99961525947</v>
      </c>
      <c r="M47" s="25">
        <f>SUM($J$30:J47)/B47</f>
        <v>527.89817420325426</v>
      </c>
      <c r="N47" s="25">
        <f t="shared" si="5"/>
        <v>12.703044709057609</v>
      </c>
      <c r="O47" s="25">
        <f>AVERAGE($N$30:N47)</f>
        <v>11.735800420966273</v>
      </c>
      <c r="P47" s="41">
        <f>SUM($I$30:I47)/M47</f>
        <v>3.4911445524509457</v>
      </c>
      <c r="R47" s="3" t="s">
        <v>20</v>
      </c>
      <c r="S47" s="83">
        <v>3052.1637867647091</v>
      </c>
      <c r="T47" s="3">
        <v>498.13709071065989</v>
      </c>
      <c r="U47" s="3">
        <v>6.1271562461056348</v>
      </c>
      <c r="V47" s="3">
        <v>2.6185564368461436E-5</v>
      </c>
      <c r="W47" s="3">
        <v>1983.7650355556736</v>
      </c>
      <c r="X47" s="3">
        <v>4120.5625379737448</v>
      </c>
      <c r="Y47" s="3">
        <v>1983.7650355556736</v>
      </c>
      <c r="Z47" s="3">
        <v>4120.5625379737448</v>
      </c>
    </row>
    <row r="48" spans="1:26" ht="13.5" thickBot="1" x14ac:dyDescent="0.25">
      <c r="A48" s="46" t="s">
        <v>5</v>
      </c>
      <c r="B48" s="13">
        <v>19</v>
      </c>
      <c r="C48" s="78">
        <v>4843</v>
      </c>
      <c r="D48" s="15">
        <f t="shared" si="0"/>
        <v>8754.1494122631666</v>
      </c>
      <c r="E48" s="15">
        <f t="shared" si="1"/>
        <v>297.28879839033942</v>
      </c>
      <c r="F48" s="17">
        <f t="shared" si="6"/>
        <v>0.56107872194331876</v>
      </c>
      <c r="G48" s="25">
        <f t="shared" si="2"/>
        <v>4919.4077377038575</v>
      </c>
      <c r="H48" s="34"/>
      <c r="I48" s="25">
        <f t="shared" si="3"/>
        <v>76.407737703857492</v>
      </c>
      <c r="J48" s="25">
        <f t="shared" si="4"/>
        <v>76.407737703857492</v>
      </c>
      <c r="K48" s="25">
        <f>SUM($I$30:I48)</f>
        <v>1919.3765728223489</v>
      </c>
      <c r="L48" s="25">
        <f>SUMSQ($I$30:I48)/B48</f>
        <v>471274.42818187852</v>
      </c>
      <c r="M48" s="25">
        <f>SUM($J$30:J48)/B48</f>
        <v>504.13551965065437</v>
      </c>
      <c r="N48" s="25">
        <f t="shared" si="5"/>
        <v>1.5776943568832851</v>
      </c>
      <c r="O48" s="25">
        <f>AVERAGE($N$30:N48)</f>
        <v>11.201163259698747</v>
      </c>
      <c r="P48" s="41">
        <f>SUM($I$30:I48)/M48</f>
        <v>3.8072631227262059</v>
      </c>
      <c r="R48" s="4" t="s">
        <v>33</v>
      </c>
      <c r="S48" s="84">
        <v>313.12279411764678</v>
      </c>
      <c r="T48" s="4">
        <v>43.439618609694797</v>
      </c>
      <c r="U48" s="4">
        <v>7.2082307381898705</v>
      </c>
      <c r="V48" s="4">
        <v>4.5068000364302304E-6</v>
      </c>
      <c r="W48" s="4">
        <v>219.95399552571021</v>
      </c>
      <c r="X48" s="4">
        <v>406.29159270958337</v>
      </c>
      <c r="Y48" s="4">
        <v>219.95399552571021</v>
      </c>
      <c r="Z48" s="4">
        <v>406.29159270958337</v>
      </c>
    </row>
    <row r="49" spans="1:19" ht="13.5" thickBot="1" x14ac:dyDescent="0.25">
      <c r="A49" s="47" t="s">
        <v>3</v>
      </c>
      <c r="B49" s="14">
        <v>20</v>
      </c>
      <c r="C49" s="14">
        <v>13097</v>
      </c>
      <c r="D49" s="16">
        <f t="shared" si="0"/>
        <v>9040.7475192779239</v>
      </c>
      <c r="E49" s="16">
        <f t="shared" si="1"/>
        <v>296.21972925278124</v>
      </c>
      <c r="F49" s="18">
        <f t="shared" si="6"/>
        <v>1.4642466514195733</v>
      </c>
      <c r="G49" s="25">
        <f t="shared" si="2"/>
        <v>13253.538090480572</v>
      </c>
      <c r="H49" s="34"/>
      <c r="I49" s="26">
        <f t="shared" si="3"/>
        <v>156.53809048057155</v>
      </c>
      <c r="J49" s="26">
        <f t="shared" si="4"/>
        <v>156.53809048057155</v>
      </c>
      <c r="K49" s="26">
        <f>SUM($I$30:I49)</f>
        <v>2075.9146633029204</v>
      </c>
      <c r="L49" s="26">
        <f>SUMSQ($I$30:I49)/B49</f>
        <v>448935.91546134977</v>
      </c>
      <c r="M49" s="26">
        <f>SUM($J$30:J49)/B49</f>
        <v>486.75564819215026</v>
      </c>
      <c r="N49" s="26">
        <f t="shared" si="5"/>
        <v>1.1952209703029057</v>
      </c>
      <c r="O49" s="26">
        <f>AVERAGE($N$30:N49)</f>
        <v>10.700866145228954</v>
      </c>
      <c r="P49" s="42">
        <f>SUM($I$30:I49)/M49</f>
        <v>4.2647983048846685</v>
      </c>
    </row>
    <row r="50" spans="1:19" ht="13.5" thickBot="1" x14ac:dyDescent="0.25">
      <c r="A50" s="45" t="s">
        <v>4</v>
      </c>
      <c r="B50" s="58">
        <v>21</v>
      </c>
      <c r="C50" s="52"/>
      <c r="D50" s="53"/>
      <c r="E50" s="53"/>
      <c r="F50" s="64">
        <f t="shared" si="6"/>
        <v>0.71631992146792589</v>
      </c>
      <c r="G50" s="69">
        <f t="shared" ref="G50:G61" si="7">($D$49+$E$49*(B50-20))*F50</f>
        <v>6688.255646216111</v>
      </c>
      <c r="H50" s="34"/>
      <c r="I50" s="34"/>
      <c r="J50" s="34"/>
      <c r="K50" s="34"/>
      <c r="L50" s="76" t="s">
        <v>62</v>
      </c>
      <c r="M50" s="77">
        <f>M49*1.25</f>
        <v>608.4445602401878</v>
      </c>
      <c r="N50" s="34"/>
      <c r="O50" s="34"/>
      <c r="P50" s="35"/>
    </row>
    <row r="51" spans="1:19" x14ac:dyDescent="0.2">
      <c r="A51" s="46" t="s">
        <v>48</v>
      </c>
      <c r="B51" s="13">
        <v>22</v>
      </c>
      <c r="C51" s="52"/>
      <c r="D51" s="53"/>
      <c r="E51" s="53"/>
      <c r="F51" s="65">
        <f t="shared" si="6"/>
        <v>0.4813133125901774</v>
      </c>
      <c r="G51" s="70">
        <f t="shared" si="7"/>
        <v>4636.5811350775302</v>
      </c>
      <c r="H51" s="34"/>
      <c r="I51" s="34"/>
      <c r="J51" s="34"/>
      <c r="K51" s="34"/>
      <c r="L51" s="34"/>
      <c r="M51" s="34"/>
      <c r="N51" s="34"/>
      <c r="O51" s="34"/>
      <c r="P51" s="35"/>
    </row>
    <row r="52" spans="1:19" x14ac:dyDescent="0.2">
      <c r="A52" s="46" t="s">
        <v>5</v>
      </c>
      <c r="B52" s="13">
        <v>23</v>
      </c>
      <c r="C52" s="52"/>
      <c r="D52" s="53"/>
      <c r="E52" s="53"/>
      <c r="F52" s="65">
        <f t="shared" si="6"/>
        <v>0.56029318629964853</v>
      </c>
      <c r="G52" s="70">
        <f t="shared" si="7"/>
        <v>5563.3789219504506</v>
      </c>
      <c r="H52" s="34"/>
      <c r="I52" s="34"/>
      <c r="J52" s="34"/>
      <c r="K52" s="34"/>
      <c r="L52" s="34"/>
      <c r="M52" s="34"/>
      <c r="N52" s="34"/>
      <c r="O52" s="34"/>
      <c r="P52" s="35"/>
      <c r="R52" s="86" t="s">
        <v>35</v>
      </c>
      <c r="S52" s="10"/>
    </row>
    <row r="53" spans="1:19" x14ac:dyDescent="0.2">
      <c r="A53" s="46" t="s">
        <v>3</v>
      </c>
      <c r="B53" s="13">
        <v>24</v>
      </c>
      <c r="C53" s="52"/>
      <c r="D53" s="53"/>
      <c r="E53" s="53"/>
      <c r="F53" s="65">
        <f t="shared" si="6"/>
        <v>1.4626883258371797</v>
      </c>
      <c r="G53" s="70">
        <f t="shared" si="7"/>
        <v>14956.904412732034</v>
      </c>
      <c r="H53" s="34"/>
      <c r="I53" s="34"/>
      <c r="J53" s="34"/>
      <c r="K53" s="34"/>
      <c r="L53" s="34"/>
      <c r="M53" s="34"/>
      <c r="N53" s="34"/>
      <c r="O53" s="34"/>
      <c r="P53" s="35"/>
      <c r="R53" s="11" t="s">
        <v>2</v>
      </c>
      <c r="S53" s="10" t="s">
        <v>0</v>
      </c>
    </row>
    <row r="54" spans="1:19" x14ac:dyDescent="0.2">
      <c r="A54" s="46" t="s">
        <v>4</v>
      </c>
      <c r="B54" s="13">
        <v>25</v>
      </c>
      <c r="C54" s="52"/>
      <c r="D54" s="53"/>
      <c r="E54" s="53"/>
      <c r="F54" s="65">
        <f t="shared" ref="F54:F61" si="8">F50</f>
        <v>0.71631992146792589</v>
      </c>
      <c r="G54" s="70">
        <f t="shared" si="7"/>
        <v>7537.008018998521</v>
      </c>
      <c r="H54" s="34"/>
      <c r="I54" s="34"/>
      <c r="J54" s="34"/>
      <c r="K54" s="34"/>
      <c r="L54" s="34"/>
      <c r="M54" s="34"/>
      <c r="N54" s="34"/>
      <c r="O54" s="34"/>
      <c r="P54" s="35"/>
      <c r="R54" s="9" t="s">
        <v>4</v>
      </c>
      <c r="S54" s="20">
        <v>0.71210454719245853</v>
      </c>
    </row>
    <row r="55" spans="1:19" x14ac:dyDescent="0.2">
      <c r="A55" s="46" t="s">
        <v>48</v>
      </c>
      <c r="B55" s="13">
        <v>26</v>
      </c>
      <c r="C55" s="52"/>
      <c r="D55" s="53"/>
      <c r="E55" s="53"/>
      <c r="F55" s="65">
        <f t="shared" si="8"/>
        <v>0.4813133125901774</v>
      </c>
      <c r="G55" s="70">
        <f t="shared" si="7"/>
        <v>5206.8791316424158</v>
      </c>
      <c r="H55" s="34"/>
      <c r="I55" s="34"/>
      <c r="J55" s="34"/>
      <c r="K55" s="34"/>
      <c r="L55" s="34"/>
      <c r="M55" s="34"/>
      <c r="N55" s="34"/>
      <c r="O55" s="34"/>
      <c r="P55" s="35"/>
      <c r="R55" s="12" t="s">
        <v>48</v>
      </c>
      <c r="S55" s="21">
        <v>0.48257335014500286</v>
      </c>
    </row>
    <row r="56" spans="1:19" x14ac:dyDescent="0.2">
      <c r="A56" s="46" t="s">
        <v>5</v>
      </c>
      <c r="B56" s="13">
        <v>27</v>
      </c>
      <c r="C56" s="52"/>
      <c r="D56" s="53"/>
      <c r="E56" s="53"/>
      <c r="F56" s="65">
        <f t="shared" si="8"/>
        <v>0.56029318629964853</v>
      </c>
      <c r="G56" s="70">
        <f t="shared" si="7"/>
        <v>6227.258505741891</v>
      </c>
      <c r="H56" s="34"/>
      <c r="L56" s="34"/>
      <c r="M56" s="34"/>
      <c r="N56" s="34"/>
      <c r="O56" s="34"/>
      <c r="P56" s="35"/>
      <c r="R56" s="12" t="s">
        <v>5</v>
      </c>
      <c r="S56" s="21">
        <v>0.56657479724774162</v>
      </c>
    </row>
    <row r="57" spans="1:19" x14ac:dyDescent="0.2">
      <c r="A57" s="46" t="s">
        <v>3</v>
      </c>
      <c r="B57" s="13">
        <v>28</v>
      </c>
      <c r="C57" s="52"/>
      <c r="D57" s="53"/>
      <c r="E57" s="53"/>
      <c r="F57" s="65">
        <f t="shared" si="8"/>
        <v>1.4626883258371797</v>
      </c>
      <c r="G57" s="70">
        <f t="shared" si="7"/>
        <v>16690.012972174809</v>
      </c>
      <c r="H57" s="34"/>
      <c r="L57" s="34"/>
      <c r="M57" s="34"/>
      <c r="N57" s="34"/>
      <c r="O57" s="34"/>
      <c r="P57" s="35"/>
      <c r="R57" s="19" t="s">
        <v>3</v>
      </c>
      <c r="S57" s="22">
        <v>1.4859904199463365</v>
      </c>
    </row>
    <row r="58" spans="1:19" x14ac:dyDescent="0.2">
      <c r="A58" s="46" t="s">
        <v>4</v>
      </c>
      <c r="B58" s="13">
        <v>29</v>
      </c>
      <c r="C58" s="52"/>
      <c r="D58" s="53"/>
      <c r="E58" s="53"/>
      <c r="F58" s="65">
        <f t="shared" si="8"/>
        <v>0.71631992146792589</v>
      </c>
      <c r="G58" s="70">
        <f t="shared" si="7"/>
        <v>8385.760391780932</v>
      </c>
      <c r="H58" s="34"/>
      <c r="L58" s="34"/>
      <c r="M58" s="34"/>
      <c r="N58" s="34"/>
      <c r="O58" s="34"/>
      <c r="P58" s="35"/>
      <c r="R58" s="55"/>
      <c r="S58" s="67"/>
    </row>
    <row r="59" spans="1:19" x14ac:dyDescent="0.2">
      <c r="A59" s="46" t="s">
        <v>48</v>
      </c>
      <c r="B59" s="13">
        <v>30</v>
      </c>
      <c r="C59" s="52"/>
      <c r="D59" s="53"/>
      <c r="E59" s="53"/>
      <c r="F59" s="65">
        <f t="shared" si="8"/>
        <v>0.4813133125901774</v>
      </c>
      <c r="G59" s="70">
        <f t="shared" si="7"/>
        <v>5777.1771282073032</v>
      </c>
      <c r="H59" s="34"/>
      <c r="L59" s="34"/>
      <c r="M59" s="34"/>
      <c r="N59" s="34"/>
      <c r="O59" s="34"/>
      <c r="P59" s="35"/>
      <c r="R59" s="55"/>
      <c r="S59" s="67"/>
    </row>
    <row r="60" spans="1:19" x14ac:dyDescent="0.2">
      <c r="A60" s="46" t="s">
        <v>5</v>
      </c>
      <c r="B60" s="13">
        <v>31</v>
      </c>
      <c r="C60" s="52"/>
      <c r="D60" s="53"/>
      <c r="E60" s="53"/>
      <c r="F60" s="65">
        <f t="shared" si="8"/>
        <v>0.56029318629964853</v>
      </c>
      <c r="G60" s="70">
        <f t="shared" si="7"/>
        <v>6891.1380895333305</v>
      </c>
      <c r="H60" s="34"/>
      <c r="L60" s="34"/>
      <c r="M60" s="34"/>
      <c r="N60" s="34"/>
      <c r="O60" s="34"/>
      <c r="P60" s="35"/>
      <c r="R60" s="55"/>
      <c r="S60" s="67"/>
    </row>
    <row r="61" spans="1:19" x14ac:dyDescent="0.2">
      <c r="A61" s="47" t="s">
        <v>3</v>
      </c>
      <c r="B61" s="14">
        <v>32</v>
      </c>
      <c r="C61" s="52"/>
      <c r="D61" s="53"/>
      <c r="E61" s="53"/>
      <c r="F61" s="66">
        <f t="shared" si="8"/>
        <v>1.4626883258371797</v>
      </c>
      <c r="G61" s="71">
        <f t="shared" si="7"/>
        <v>18423.12153161758</v>
      </c>
      <c r="H61" s="34"/>
      <c r="L61" s="34"/>
      <c r="M61" s="34"/>
      <c r="N61" s="34"/>
      <c r="O61" s="34"/>
      <c r="P61" s="35"/>
      <c r="R61" s="55"/>
      <c r="S61" s="67"/>
    </row>
    <row r="62" spans="1:19" x14ac:dyDescent="0.2">
      <c r="A62" s="1"/>
      <c r="B62" s="52"/>
      <c r="C62" s="52"/>
      <c r="D62" s="53"/>
      <c r="E62" s="53"/>
      <c r="F62" s="54"/>
      <c r="G62" s="34"/>
      <c r="H62" s="34"/>
      <c r="L62" s="34"/>
      <c r="M62" s="34"/>
      <c r="N62" s="34"/>
      <c r="O62" s="34"/>
      <c r="P62" s="35"/>
      <c r="R62" s="55"/>
      <c r="S62" s="67"/>
    </row>
    <row r="63" spans="1:19" x14ac:dyDescent="0.2">
      <c r="A63" s="1"/>
      <c r="B63" s="52"/>
      <c r="C63" s="52"/>
      <c r="D63" s="53"/>
      <c r="E63" s="53"/>
      <c r="F63" s="54"/>
      <c r="G63" s="34"/>
      <c r="H63" s="34"/>
      <c r="L63" s="34"/>
      <c r="M63" s="34"/>
      <c r="N63" s="34"/>
      <c r="O63" s="34"/>
      <c r="P63" s="35"/>
      <c r="R63" s="55"/>
      <c r="S63" s="67"/>
    </row>
    <row r="64" spans="1:19" x14ac:dyDescent="0.2">
      <c r="A64" s="1"/>
      <c r="B64" s="52"/>
      <c r="C64" s="52"/>
      <c r="D64" s="53"/>
      <c r="E64" s="53"/>
      <c r="F64" s="54"/>
      <c r="G64" s="34"/>
      <c r="H64" s="34"/>
      <c r="I64" s="7" t="s">
        <v>51</v>
      </c>
      <c r="J64" s="7" t="s">
        <v>34</v>
      </c>
      <c r="L64" s="34"/>
      <c r="M64" s="34"/>
      <c r="N64" s="34"/>
      <c r="O64" s="34"/>
      <c r="P64" s="35"/>
      <c r="R64" s="55"/>
      <c r="S64" s="67"/>
    </row>
    <row r="65" spans="1:19" ht="16.5" thickBot="1" x14ac:dyDescent="0.3">
      <c r="A65" s="59" t="s">
        <v>52</v>
      </c>
      <c r="B65" s="52"/>
      <c r="C65" s="80"/>
      <c r="D65" s="53"/>
      <c r="E65" s="53"/>
      <c r="F65" s="54"/>
      <c r="G65" s="34"/>
      <c r="H65" s="34"/>
      <c r="L65" s="34"/>
      <c r="M65" s="34"/>
      <c r="N65" s="34"/>
      <c r="O65" s="34"/>
      <c r="P65" s="35"/>
      <c r="R65" s="55"/>
      <c r="S65" s="67"/>
    </row>
    <row r="66" spans="1:19" ht="16.5" thickBot="1" x14ac:dyDescent="0.3">
      <c r="A66" s="1"/>
      <c r="B66" s="52"/>
      <c r="C66" s="80"/>
      <c r="D66" s="53"/>
      <c r="E66" s="53"/>
      <c r="F66" s="54"/>
      <c r="G66" s="34"/>
      <c r="H66" s="34"/>
      <c r="I66" s="61" t="s">
        <v>59</v>
      </c>
      <c r="J66" s="62" t="s">
        <v>54</v>
      </c>
      <c r="K66" s="63">
        <v>-0.33237074336524591</v>
      </c>
      <c r="L66" s="68" t="s">
        <v>61</v>
      </c>
      <c r="M66" s="34"/>
      <c r="N66" s="34"/>
      <c r="O66" s="34"/>
      <c r="P66" s="35"/>
      <c r="R66" s="55"/>
      <c r="S66" s="67"/>
    </row>
    <row r="67" spans="1:19" ht="16.5" thickBot="1" x14ac:dyDescent="0.3">
      <c r="A67" s="1"/>
      <c r="B67" s="52"/>
      <c r="C67" s="80"/>
      <c r="D67" s="53"/>
      <c r="E67" s="53"/>
      <c r="F67" s="54"/>
      <c r="G67" s="34"/>
      <c r="H67" s="34"/>
      <c r="I67" s="61" t="s">
        <v>56</v>
      </c>
      <c r="J67" s="62" t="s">
        <v>54</v>
      </c>
      <c r="K67" s="63">
        <v>-9.6381569729405495E-2</v>
      </c>
      <c r="L67" s="34"/>
      <c r="M67" s="34"/>
      <c r="N67" s="34"/>
      <c r="O67" s="34"/>
      <c r="P67" s="35"/>
    </row>
    <row r="68" spans="1:19" ht="16.5" thickBot="1" x14ac:dyDescent="0.3">
      <c r="A68" s="1"/>
      <c r="B68" s="52"/>
      <c r="C68" s="80"/>
      <c r="D68" s="53"/>
      <c r="E68" s="53"/>
      <c r="F68" s="54"/>
      <c r="G68" s="34"/>
      <c r="H68" s="34"/>
      <c r="I68" s="61" t="s">
        <v>60</v>
      </c>
      <c r="J68" s="62" t="s">
        <v>54</v>
      </c>
      <c r="K68" s="63">
        <v>7.4067548124719718E-2</v>
      </c>
      <c r="L68" s="34"/>
      <c r="M68" s="34"/>
      <c r="N68" s="34"/>
      <c r="O68" s="34"/>
      <c r="P68" s="35"/>
    </row>
    <row r="69" spans="1:19" x14ac:dyDescent="0.2">
      <c r="B69" s="51"/>
      <c r="C69" s="81"/>
      <c r="F69" s="2"/>
      <c r="O69"/>
      <c r="P69" s="39"/>
    </row>
    <row r="70" spans="1:19" s="31" customFormat="1" ht="45.75" customHeight="1" x14ac:dyDescent="0.3">
      <c r="A70" s="30" t="s">
        <v>2</v>
      </c>
      <c r="B70" s="30" t="s">
        <v>6</v>
      </c>
      <c r="C70" s="82" t="s">
        <v>7</v>
      </c>
      <c r="D70" s="30" t="s">
        <v>46</v>
      </c>
      <c r="E70" s="30" t="s">
        <v>47</v>
      </c>
      <c r="F70" s="30" t="s">
        <v>8</v>
      </c>
      <c r="G70" s="32" t="s">
        <v>9</v>
      </c>
      <c r="H70" s="33"/>
      <c r="I70" s="30" t="s">
        <v>38</v>
      </c>
      <c r="J70" s="30" t="s">
        <v>39</v>
      </c>
      <c r="K70" s="30" t="s">
        <v>43</v>
      </c>
      <c r="L70" s="30" t="s">
        <v>40</v>
      </c>
      <c r="M70" s="30" t="s">
        <v>41</v>
      </c>
      <c r="N70" s="30" t="s">
        <v>45</v>
      </c>
      <c r="O70" s="30" t="s">
        <v>42</v>
      </c>
      <c r="P70" s="40" t="s">
        <v>44</v>
      </c>
      <c r="R70" s="8" t="s">
        <v>68</v>
      </c>
    </row>
    <row r="71" spans="1:19" x14ac:dyDescent="0.2">
      <c r="A71" s="46"/>
      <c r="B71" s="13"/>
      <c r="C71" s="78"/>
      <c r="D71" s="15">
        <f>S89</f>
        <v>3611.9788602941221</v>
      </c>
      <c r="E71" s="15">
        <f>S90</f>
        <v>263.94025735294082</v>
      </c>
      <c r="F71" s="17"/>
      <c r="G71" s="25"/>
      <c r="H71" s="34"/>
      <c r="I71" s="72"/>
      <c r="J71" s="72"/>
      <c r="K71" s="72"/>
      <c r="L71" s="72"/>
      <c r="M71" s="72"/>
      <c r="N71" s="72"/>
      <c r="O71" s="72"/>
      <c r="P71" s="73"/>
    </row>
    <row r="72" spans="1:19" x14ac:dyDescent="0.2">
      <c r="A72" s="46" t="s">
        <v>4</v>
      </c>
      <c r="B72" s="13">
        <v>1</v>
      </c>
      <c r="C72" s="78">
        <v>3200</v>
      </c>
      <c r="D72" s="15">
        <f t="shared" ref="D72:D91" si="9">alpha2*(C72/F72)+(1-alpha2)*(D71+E71)</f>
        <v>3875.9191176470631</v>
      </c>
      <c r="E72" s="15">
        <f t="shared" ref="E72:E91" si="10">beta2*(D72-D71)+(1-beta2)*E71</f>
        <v>263.94025735294082</v>
      </c>
      <c r="F72" s="17">
        <f>S96</f>
        <v>0.76153343952399966</v>
      </c>
      <c r="G72" s="25">
        <f t="shared" ref="G72:G91" si="11">(D71+E71)*F72</f>
        <v>2951.6420169785938</v>
      </c>
      <c r="H72" s="34"/>
      <c r="I72" s="25">
        <f t="shared" ref="I72:I91" si="12">G72-C72</f>
        <v>-248.3579830214062</v>
      </c>
      <c r="J72" s="25">
        <f t="shared" ref="J72:J91" si="13">ABS(I72)</f>
        <v>248.3579830214062</v>
      </c>
      <c r="K72" s="25">
        <f>SUM($I$72:I72)</f>
        <v>-248.3579830214062</v>
      </c>
      <c r="L72" s="25">
        <f>SUMSQ($I$72:I72)/B72</f>
        <v>61681.68773046109</v>
      </c>
      <c r="M72" s="25">
        <f>SUM($J$72:J72)/B72</f>
        <v>248.3579830214062</v>
      </c>
      <c r="N72" s="25">
        <f t="shared" ref="N72:N91" si="14">J72/C72*100</f>
        <v>7.7611869694189446</v>
      </c>
      <c r="O72" s="25">
        <f>AVERAGE($N$72:N72)</f>
        <v>7.7611869694189446</v>
      </c>
      <c r="P72" s="41">
        <f>SUM($I$72:I72)/M72</f>
        <v>-1</v>
      </c>
    </row>
    <row r="73" spans="1:19" x14ac:dyDescent="0.2">
      <c r="A73" s="46" t="s">
        <v>48</v>
      </c>
      <c r="B73" s="13">
        <v>2</v>
      </c>
      <c r="C73" s="78">
        <v>7658</v>
      </c>
      <c r="D73" s="15">
        <f t="shared" si="9"/>
        <v>4139.8593750000036</v>
      </c>
      <c r="E73" s="15">
        <f t="shared" si="10"/>
        <v>263.94025735294082</v>
      </c>
      <c r="F73" s="17">
        <f>S97</f>
        <v>1.89921436419794</v>
      </c>
      <c r="G73" s="25">
        <f t="shared" si="11"/>
        <v>7862.4803907595133</v>
      </c>
      <c r="H73" s="34"/>
      <c r="I73" s="25">
        <f t="shared" si="12"/>
        <v>204.48039075951328</v>
      </c>
      <c r="J73" s="25">
        <f t="shared" si="13"/>
        <v>204.48039075951328</v>
      </c>
      <c r="K73" s="25">
        <f>SUM($I$72:I73)</f>
        <v>-43.877592261892914</v>
      </c>
      <c r="L73" s="25">
        <f>SUMSQ($I$72:I73)/B73</f>
        <v>51746.95896781217</v>
      </c>
      <c r="M73" s="25">
        <f>SUM($J$72:J73)/B73</f>
        <v>226.41918689045974</v>
      </c>
      <c r="N73" s="25">
        <f t="shared" si="14"/>
        <v>2.6701539665645506</v>
      </c>
      <c r="O73" s="25">
        <f>AVERAGE($N$72:N73)</f>
        <v>5.2156704679917478</v>
      </c>
      <c r="P73" s="41">
        <f>SUM($I$72:I73)/M73</f>
        <v>-0.19378919633308564</v>
      </c>
      <c r="R73" t="s">
        <v>10</v>
      </c>
    </row>
    <row r="74" spans="1:19" ht="13.5" thickBot="1" x14ac:dyDescent="0.25">
      <c r="A74" s="46" t="s">
        <v>5</v>
      </c>
      <c r="B74" s="13">
        <v>3</v>
      </c>
      <c r="C74" s="78">
        <v>4420</v>
      </c>
      <c r="D74" s="15">
        <f t="shared" si="9"/>
        <v>4403.7996323529442</v>
      </c>
      <c r="E74" s="15">
        <f t="shared" si="10"/>
        <v>263.94025735294082</v>
      </c>
      <c r="F74" s="17">
        <f>S98</f>
        <v>0.94804272605210582</v>
      </c>
      <c r="G74" s="25">
        <f t="shared" si="11"/>
        <v>4174.9902084431469</v>
      </c>
      <c r="H74" s="34"/>
      <c r="I74" s="25">
        <f t="shared" si="12"/>
        <v>-245.00979155685309</v>
      </c>
      <c r="J74" s="25">
        <f t="shared" si="13"/>
        <v>245.00979155685309</v>
      </c>
      <c r="K74" s="25">
        <f>SUM($I$72:I74)</f>
        <v>-288.887383818746</v>
      </c>
      <c r="L74" s="25">
        <f>SUMSQ($I$72:I74)/B74</f>
        <v>54507.905298118982</v>
      </c>
      <c r="M74" s="25">
        <f>SUM($J$72:J74)/B74</f>
        <v>232.61605511259086</v>
      </c>
      <c r="N74" s="25">
        <f t="shared" si="14"/>
        <v>5.5432079537749566</v>
      </c>
      <c r="O74" s="25">
        <f>AVERAGE($N$72:N74)</f>
        <v>5.3248496299194841</v>
      </c>
      <c r="P74" s="41">
        <f>SUM($I$72:I74)/M74</f>
        <v>-1.2419064697787894</v>
      </c>
    </row>
    <row r="75" spans="1:19" x14ac:dyDescent="0.2">
      <c r="A75" s="46" t="s">
        <v>3</v>
      </c>
      <c r="B75" s="13">
        <v>4</v>
      </c>
      <c r="C75" s="78">
        <v>2384</v>
      </c>
      <c r="D75" s="15">
        <f t="shared" si="9"/>
        <v>4667.7398897058847</v>
      </c>
      <c r="E75" s="15">
        <f t="shared" si="10"/>
        <v>263.94025735294082</v>
      </c>
      <c r="F75" s="17">
        <f>S99</f>
        <v>0.41469276531543453</v>
      </c>
      <c r="G75" s="25">
        <f t="shared" si="11"/>
        <v>1935.6779626352948</v>
      </c>
      <c r="H75" s="34"/>
      <c r="I75" s="25">
        <f t="shared" si="12"/>
        <v>-448.32203736470524</v>
      </c>
      <c r="J75" s="25">
        <f t="shared" si="13"/>
        <v>448.32203736470524</v>
      </c>
      <c r="K75" s="25">
        <f>SUM($I$72:I75)</f>
        <v>-737.20942118345124</v>
      </c>
      <c r="L75" s="25">
        <f>SUMSQ($I$72:I75)/B75</f>
        <v>91129.091270299279</v>
      </c>
      <c r="M75" s="25">
        <f>SUM($J$72:J75)/B75</f>
        <v>286.54255067561945</v>
      </c>
      <c r="N75" s="25">
        <f t="shared" si="14"/>
        <v>18.805454587445688</v>
      </c>
      <c r="O75" s="25">
        <f>AVERAGE($N$72:N75)</f>
        <v>8.695000869301035</v>
      </c>
      <c r="P75" s="41">
        <f>SUM($I$72:I75)/M75</f>
        <v>-2.5727746871982351</v>
      </c>
      <c r="R75" s="6" t="s">
        <v>11</v>
      </c>
      <c r="S75" s="6"/>
    </row>
    <row r="76" spans="1:19" x14ac:dyDescent="0.2">
      <c r="A76" s="46" t="s">
        <v>4</v>
      </c>
      <c r="B76" s="13">
        <v>5</v>
      </c>
      <c r="C76" s="78">
        <v>3654</v>
      </c>
      <c r="D76" s="15">
        <f t="shared" si="9"/>
        <v>4931.6801470588252</v>
      </c>
      <c r="E76" s="15">
        <f t="shared" si="10"/>
        <v>263.94025735294082</v>
      </c>
      <c r="F76" s="17">
        <f t="shared" ref="F76:F95" si="15">gamma2*(C72/D72)+(1-gamma2)*F72</f>
        <v>0.76153343952399966</v>
      </c>
      <c r="G76" s="25">
        <f t="shared" si="11"/>
        <v>3755.6393450219316</v>
      </c>
      <c r="H76" s="34"/>
      <c r="I76" s="25">
        <f t="shared" si="12"/>
        <v>101.6393450219316</v>
      </c>
      <c r="J76" s="25">
        <f t="shared" si="13"/>
        <v>101.6393450219316</v>
      </c>
      <c r="K76" s="25">
        <f>SUM($I$72:I76)</f>
        <v>-635.57007616151964</v>
      </c>
      <c r="L76" s="25">
        <f>SUMSQ($I$72:I76)/B76</f>
        <v>74969.384307536879</v>
      </c>
      <c r="M76" s="25">
        <f>SUM($J$72:J76)/B76</f>
        <v>249.56190954488187</v>
      </c>
      <c r="N76" s="25">
        <f t="shared" si="14"/>
        <v>2.7815912704414778</v>
      </c>
      <c r="O76" s="25">
        <f>AVERAGE($N$72:N76)</f>
        <v>7.5123189495291225</v>
      </c>
      <c r="P76" s="41">
        <f>SUM($I$72:I76)/M76</f>
        <v>-2.5467431200562163</v>
      </c>
      <c r="R76" s="3" t="s">
        <v>12</v>
      </c>
      <c r="S76" s="3">
        <v>0.93104861399932304</v>
      </c>
    </row>
    <row r="77" spans="1:19" x14ac:dyDescent="0.2">
      <c r="A77" s="46" t="s">
        <v>48</v>
      </c>
      <c r="B77" s="13">
        <v>6</v>
      </c>
      <c r="C77" s="78">
        <v>8680</v>
      </c>
      <c r="D77" s="15">
        <f t="shared" si="9"/>
        <v>5195.6204044117658</v>
      </c>
      <c r="E77" s="15">
        <f t="shared" si="10"/>
        <v>263.94025735294082</v>
      </c>
      <c r="F77" s="17">
        <f t="shared" si="15"/>
        <v>1.89921436419794</v>
      </c>
      <c r="G77" s="25">
        <f t="shared" si="11"/>
        <v>9867.5969029787357</v>
      </c>
      <c r="H77" s="34"/>
      <c r="I77" s="25">
        <f t="shared" si="12"/>
        <v>1187.5969029787357</v>
      </c>
      <c r="J77" s="25">
        <f t="shared" si="13"/>
        <v>1187.5969029787357</v>
      </c>
      <c r="K77" s="25">
        <f>SUM($I$72:I77)</f>
        <v>552.02682681721603</v>
      </c>
      <c r="L77" s="25">
        <f>SUMSQ($I$72:I77)/B77</f>
        <v>297538.88758372818</v>
      </c>
      <c r="M77" s="25">
        <f>SUM($J$72:J77)/B77</f>
        <v>405.90107511719089</v>
      </c>
      <c r="N77" s="25">
        <f t="shared" si="14"/>
        <v>13.681991969801102</v>
      </c>
      <c r="O77" s="25">
        <f>AVERAGE($N$72:N77)</f>
        <v>8.5405977862411202</v>
      </c>
      <c r="P77" s="41">
        <f>SUM($I$72:I77)/M77</f>
        <v>1.3600033620453851</v>
      </c>
      <c r="R77" s="3" t="s">
        <v>13</v>
      </c>
      <c r="S77" s="3">
        <v>0.86685152163006041</v>
      </c>
    </row>
    <row r="78" spans="1:19" x14ac:dyDescent="0.2">
      <c r="A78" s="46" t="s">
        <v>5</v>
      </c>
      <c r="B78" s="13">
        <v>7</v>
      </c>
      <c r="C78" s="78">
        <v>5695</v>
      </c>
      <c r="D78" s="15">
        <f t="shared" si="9"/>
        <v>5459.5606617647063</v>
      </c>
      <c r="E78" s="15">
        <f t="shared" si="10"/>
        <v>263.94025735294082</v>
      </c>
      <c r="F78" s="17">
        <f t="shared" si="15"/>
        <v>0.94804272605210582</v>
      </c>
      <c r="G78" s="25">
        <f t="shared" si="11"/>
        <v>5175.8967728262514</v>
      </c>
      <c r="H78" s="34"/>
      <c r="I78" s="25">
        <f t="shared" si="12"/>
        <v>-519.10322717374856</v>
      </c>
      <c r="J78" s="25">
        <f t="shared" si="13"/>
        <v>519.10322717374856</v>
      </c>
      <c r="K78" s="25">
        <f>SUM($I$72:I78)</f>
        <v>32.923599643467469</v>
      </c>
      <c r="L78" s="25">
        <f>SUMSQ($I$72:I78)/B78</f>
        <v>293528.7837092242</v>
      </c>
      <c r="M78" s="25">
        <f>SUM($J$72:J78)/B78</f>
        <v>422.07281112527056</v>
      </c>
      <c r="N78" s="25">
        <f t="shared" si="14"/>
        <v>9.1150698362379039</v>
      </c>
      <c r="O78" s="25">
        <f>AVERAGE($N$72:N78)</f>
        <v>8.6226652219549464</v>
      </c>
      <c r="P78" s="41">
        <f>SUM($I$72:I78)/M78</f>
        <v>7.8004549868282785E-2</v>
      </c>
      <c r="R78" s="3" t="s">
        <v>14</v>
      </c>
      <c r="S78" s="3">
        <v>0.85734091603220752</v>
      </c>
    </row>
    <row r="79" spans="1:19" x14ac:dyDescent="0.2">
      <c r="A79" s="46" t="s">
        <v>3</v>
      </c>
      <c r="B79" s="13">
        <v>8</v>
      </c>
      <c r="C79" s="78">
        <v>1953</v>
      </c>
      <c r="D79" s="15">
        <f t="shared" si="9"/>
        <v>5723.5009191176468</v>
      </c>
      <c r="E79" s="15">
        <f t="shared" si="10"/>
        <v>263.94025735294082</v>
      </c>
      <c r="F79" s="17">
        <f t="shared" si="15"/>
        <v>0.41469276531543453</v>
      </c>
      <c r="G79" s="25">
        <f t="shared" si="11"/>
        <v>2373.4944234343284</v>
      </c>
      <c r="H79" s="34"/>
      <c r="I79" s="25">
        <f t="shared" si="12"/>
        <v>420.49442343432838</v>
      </c>
      <c r="J79" s="25">
        <f t="shared" si="13"/>
        <v>420.49442343432838</v>
      </c>
      <c r="K79" s="25">
        <f>SUM($I$72:I79)</f>
        <v>453.41802307779585</v>
      </c>
      <c r="L79" s="25">
        <f>SUMSQ($I$72:I79)/B79</f>
        <v>278939.63076299219</v>
      </c>
      <c r="M79" s="25">
        <f>SUM($J$72:J79)/B79</f>
        <v>421.87551266390278</v>
      </c>
      <c r="N79" s="25">
        <f t="shared" si="14"/>
        <v>21.530692444154038</v>
      </c>
      <c r="O79" s="25">
        <f>AVERAGE($N$72:N79)</f>
        <v>10.236168624729833</v>
      </c>
      <c r="P79" s="41">
        <f>SUM($I$72:I79)/M79</f>
        <v>1.0747673412346692</v>
      </c>
      <c r="R79" s="3" t="s">
        <v>15</v>
      </c>
      <c r="S79" s="3">
        <v>509.77299172652909</v>
      </c>
    </row>
    <row r="80" spans="1:19" ht="13.5" thickBot="1" x14ac:dyDescent="0.25">
      <c r="A80" s="46" t="s">
        <v>4</v>
      </c>
      <c r="B80" s="13">
        <v>9</v>
      </c>
      <c r="C80" s="78">
        <v>4742</v>
      </c>
      <c r="D80" s="15">
        <f t="shared" si="9"/>
        <v>5987.4411764705874</v>
      </c>
      <c r="E80" s="15">
        <f t="shared" si="10"/>
        <v>263.94025735294082</v>
      </c>
      <c r="F80" s="17">
        <f t="shared" si="15"/>
        <v>0.76153343952399966</v>
      </c>
      <c r="G80" s="25">
        <f t="shared" si="11"/>
        <v>4559.636673065269</v>
      </c>
      <c r="H80" s="34"/>
      <c r="I80" s="25">
        <f t="shared" si="12"/>
        <v>-182.36332693473105</v>
      </c>
      <c r="J80" s="25">
        <f t="shared" si="13"/>
        <v>182.36332693473105</v>
      </c>
      <c r="K80" s="25">
        <f>SUM($I$72:I80)</f>
        <v>271.0546961430648</v>
      </c>
      <c r="L80" s="25">
        <f>SUMSQ($I$72:I80)/B80</f>
        <v>251641.49212384902</v>
      </c>
      <c r="M80" s="25">
        <f>SUM($J$72:J80)/B80</f>
        <v>395.2630475828837</v>
      </c>
      <c r="N80" s="25">
        <f t="shared" si="14"/>
        <v>3.8457049121621898</v>
      </c>
      <c r="O80" s="25">
        <f>AVERAGE($N$72:N80)</f>
        <v>9.5261171011112058</v>
      </c>
      <c r="P80" s="41">
        <f>SUM($I$72:I80)/M80</f>
        <v>0.68575774487552288</v>
      </c>
      <c r="R80" s="4" t="s">
        <v>16</v>
      </c>
      <c r="S80" s="4">
        <v>16</v>
      </c>
    </row>
    <row r="81" spans="1:26" x14ac:dyDescent="0.2">
      <c r="A81" s="46" t="s">
        <v>48</v>
      </c>
      <c r="B81" s="13">
        <v>10</v>
      </c>
      <c r="C81" s="78">
        <v>13673</v>
      </c>
      <c r="D81" s="15">
        <f t="shared" si="9"/>
        <v>6251.3814338235279</v>
      </c>
      <c r="E81" s="15">
        <f t="shared" si="10"/>
        <v>263.94025735294082</v>
      </c>
      <c r="F81" s="17">
        <f t="shared" si="15"/>
        <v>1.89921436419794</v>
      </c>
      <c r="G81" s="25">
        <f t="shared" si="11"/>
        <v>11872.713415197957</v>
      </c>
      <c r="H81" s="34"/>
      <c r="I81" s="25">
        <f t="shared" si="12"/>
        <v>-1800.2865848020429</v>
      </c>
      <c r="J81" s="25">
        <f t="shared" si="13"/>
        <v>1800.2865848020429</v>
      </c>
      <c r="K81" s="25">
        <f>SUM($I$72:I81)</f>
        <v>-1529.2318886589781</v>
      </c>
      <c r="L81" s="25">
        <f>SUMSQ($I$72:I81)/B81</f>
        <v>550580.52165328444</v>
      </c>
      <c r="M81" s="25">
        <f>SUM($J$72:J81)/B81</f>
        <v>535.76540130479964</v>
      </c>
      <c r="N81" s="25">
        <f t="shared" si="14"/>
        <v>13.166727015300539</v>
      </c>
      <c r="O81" s="25">
        <f>AVERAGE($N$72:N81)</f>
        <v>9.8901780925301388</v>
      </c>
      <c r="P81" s="41">
        <f>SUM($I$72:I81)/M81</f>
        <v>-2.8542938475211286</v>
      </c>
    </row>
    <row r="82" spans="1:26" ht="13.5" thickBot="1" x14ac:dyDescent="0.25">
      <c r="A82" s="46" t="s">
        <v>5</v>
      </c>
      <c r="B82" s="13">
        <v>11</v>
      </c>
      <c r="C82" s="78">
        <v>6640</v>
      </c>
      <c r="D82" s="15">
        <f t="shared" si="9"/>
        <v>6515.3216911764684</v>
      </c>
      <c r="E82" s="15">
        <f t="shared" si="10"/>
        <v>263.94025735294082</v>
      </c>
      <c r="F82" s="17">
        <f t="shared" si="15"/>
        <v>0.94804272605210582</v>
      </c>
      <c r="G82" s="25">
        <f t="shared" si="11"/>
        <v>6176.803337209355</v>
      </c>
      <c r="H82" s="34"/>
      <c r="I82" s="25">
        <f t="shared" si="12"/>
        <v>-463.19666279064495</v>
      </c>
      <c r="J82" s="25">
        <f t="shared" si="13"/>
        <v>463.19666279064495</v>
      </c>
      <c r="K82" s="25">
        <f>SUM($I$72:I82)</f>
        <v>-1992.428551449623</v>
      </c>
      <c r="L82" s="25">
        <f>SUMSQ($I$72:I82)/B82</f>
        <v>520032.39681393042</v>
      </c>
      <c r="M82" s="25">
        <f>SUM($J$72:J82)/B82</f>
        <v>529.16824325805828</v>
      </c>
      <c r="N82" s="25">
        <f t="shared" si="14"/>
        <v>6.9758533552807975</v>
      </c>
      <c r="O82" s="25">
        <f>AVERAGE($N$72:N82)</f>
        <v>9.625239480052926</v>
      </c>
      <c r="P82" s="41">
        <f>SUM($I$72:I82)/M82</f>
        <v>-3.7652080918203925</v>
      </c>
      <c r="R82" t="s">
        <v>17</v>
      </c>
    </row>
    <row r="83" spans="1:26" x14ac:dyDescent="0.2">
      <c r="A83" s="46" t="s">
        <v>3</v>
      </c>
      <c r="B83" s="13">
        <v>12</v>
      </c>
      <c r="C83" s="78">
        <v>2737</v>
      </c>
      <c r="D83" s="15">
        <f t="shared" si="9"/>
        <v>6779.261948529409</v>
      </c>
      <c r="E83" s="15">
        <f t="shared" si="10"/>
        <v>263.94025735294082</v>
      </c>
      <c r="F83" s="17">
        <f t="shared" si="15"/>
        <v>0.41469276531543453</v>
      </c>
      <c r="G83" s="25">
        <f t="shared" si="11"/>
        <v>2811.3108842333618</v>
      </c>
      <c r="H83" s="34"/>
      <c r="I83" s="25">
        <f t="shared" si="12"/>
        <v>74.310884233361776</v>
      </c>
      <c r="J83" s="25">
        <f t="shared" si="13"/>
        <v>74.310884233361776</v>
      </c>
      <c r="K83" s="25">
        <f>SUM($I$72:I83)</f>
        <v>-1918.1176672162612</v>
      </c>
      <c r="L83" s="25">
        <f>SUMSQ($I$72:I83)/B83</f>
        <v>477156.53937239823</v>
      </c>
      <c r="M83" s="25">
        <f>SUM($J$72:J83)/B83</f>
        <v>491.26346333933361</v>
      </c>
      <c r="N83" s="25">
        <f t="shared" si="14"/>
        <v>2.7150487480219869</v>
      </c>
      <c r="O83" s="25">
        <f>AVERAGE($N$72:N83)</f>
        <v>9.0493902523836809</v>
      </c>
      <c r="P83" s="41">
        <f>SUM($I$72:I83)/M83</f>
        <v>-3.90445821917627</v>
      </c>
      <c r="R83" s="5"/>
      <c r="S83" s="5" t="s">
        <v>21</v>
      </c>
      <c r="T83" s="5" t="s">
        <v>22</v>
      </c>
      <c r="U83" s="5" t="s">
        <v>23</v>
      </c>
      <c r="V83" s="5" t="s">
        <v>24</v>
      </c>
      <c r="W83" s="5" t="s">
        <v>25</v>
      </c>
    </row>
    <row r="84" spans="1:26" x14ac:dyDescent="0.2">
      <c r="A84" s="46" t="s">
        <v>4</v>
      </c>
      <c r="B84" s="13">
        <v>13</v>
      </c>
      <c r="C84" s="78">
        <v>3486</v>
      </c>
      <c r="D84" s="15">
        <f t="shared" si="9"/>
        <v>7043.2022058823495</v>
      </c>
      <c r="E84" s="15">
        <f t="shared" si="10"/>
        <v>263.94025735294082</v>
      </c>
      <c r="F84" s="17">
        <f t="shared" si="15"/>
        <v>0.76153343952399966</v>
      </c>
      <c r="G84" s="25">
        <f t="shared" si="11"/>
        <v>5363.6340011086068</v>
      </c>
      <c r="H84" s="34"/>
      <c r="I84" s="25">
        <f t="shared" si="12"/>
        <v>1877.6340011086068</v>
      </c>
      <c r="J84" s="25">
        <f t="shared" si="13"/>
        <v>1877.6340011086068</v>
      </c>
      <c r="K84" s="25">
        <f>SUM($I$72:I84)</f>
        <v>-40.483666107654471</v>
      </c>
      <c r="L84" s="25">
        <f>SUMSQ($I$72:I84)/B84</f>
        <v>711645.22419906885</v>
      </c>
      <c r="M84" s="25">
        <f>SUM($J$72:J84)/B84</f>
        <v>597.9073508600469</v>
      </c>
      <c r="N84" s="25">
        <f t="shared" si="14"/>
        <v>53.862134283092566</v>
      </c>
      <c r="O84" s="25">
        <f>AVERAGE($N$72:N84)</f>
        <v>12.496524408592055</v>
      </c>
      <c r="P84" s="41">
        <f>SUM($I$72:I84)/M84</f>
        <v>-6.7708928564637338E-2</v>
      </c>
      <c r="R84" s="3" t="s">
        <v>18</v>
      </c>
      <c r="S84" s="3">
        <v>1</v>
      </c>
      <c r="T84" s="3">
        <v>23685916.213522516</v>
      </c>
      <c r="U84" s="3">
        <v>23685916.213522516</v>
      </c>
      <c r="V84" s="3">
        <v>91.145775388453288</v>
      </c>
      <c r="W84" s="3">
        <v>1.653571094928248E-7</v>
      </c>
    </row>
    <row r="85" spans="1:26" x14ac:dyDescent="0.2">
      <c r="A85" s="46" t="s">
        <v>48</v>
      </c>
      <c r="B85" s="13">
        <v>14</v>
      </c>
      <c r="C85" s="13">
        <v>13186</v>
      </c>
      <c r="D85" s="15">
        <f t="shared" si="9"/>
        <v>7307.1424632352901</v>
      </c>
      <c r="E85" s="15">
        <f t="shared" si="10"/>
        <v>263.94025735294082</v>
      </c>
      <c r="F85" s="17">
        <f t="shared" si="15"/>
        <v>1.89921436419794</v>
      </c>
      <c r="G85" s="25">
        <f t="shared" si="11"/>
        <v>13877.82992741718</v>
      </c>
      <c r="H85" s="34"/>
      <c r="I85" s="25">
        <f t="shared" si="12"/>
        <v>691.82992741718044</v>
      </c>
      <c r="J85" s="25">
        <f t="shared" si="13"/>
        <v>691.82992741718044</v>
      </c>
      <c r="K85" s="25">
        <f>SUM($I$72:I85)</f>
        <v>651.34626130952597</v>
      </c>
      <c r="L85" s="25">
        <f>SUMSQ($I$72:I85)/B85</f>
        <v>695001.18307556829</v>
      </c>
      <c r="M85" s="25">
        <f>SUM($J$72:J85)/B85</f>
        <v>604.61610632841359</v>
      </c>
      <c r="N85" s="25">
        <f t="shared" si="14"/>
        <v>5.2467004961108792</v>
      </c>
      <c r="O85" s="25">
        <f>AVERAGE($N$72:N85)</f>
        <v>11.978679843414829</v>
      </c>
      <c r="P85" s="41">
        <f>SUM($I$72:I85)/M85</f>
        <v>1.0772889681435804</v>
      </c>
      <c r="R85" s="3" t="s">
        <v>19</v>
      </c>
      <c r="S85" s="3">
        <v>14</v>
      </c>
      <c r="T85" s="3">
        <v>3638159.0433134218</v>
      </c>
      <c r="U85" s="3">
        <v>259868.50309381585</v>
      </c>
      <c r="V85" s="3"/>
      <c r="W85" s="3"/>
    </row>
    <row r="86" spans="1:26" ht="13.5" thickBot="1" x14ac:dyDescent="0.25">
      <c r="A86" s="46" t="s">
        <v>5</v>
      </c>
      <c r="B86" s="13">
        <v>15</v>
      </c>
      <c r="C86" s="13">
        <v>5448</v>
      </c>
      <c r="D86" s="15">
        <f t="shared" si="9"/>
        <v>7571.0827205882306</v>
      </c>
      <c r="E86" s="15">
        <f t="shared" si="10"/>
        <v>263.94025735294082</v>
      </c>
      <c r="F86" s="17">
        <f t="shared" si="15"/>
        <v>0.94804272605210582</v>
      </c>
      <c r="G86" s="25">
        <f t="shared" si="11"/>
        <v>7177.7099015924596</v>
      </c>
      <c r="H86" s="34"/>
      <c r="I86" s="25">
        <f t="shared" si="12"/>
        <v>1729.7099015924596</v>
      </c>
      <c r="J86" s="25">
        <f t="shared" si="13"/>
        <v>1729.7099015924596</v>
      </c>
      <c r="K86" s="25">
        <f>SUM($I$72:I86)</f>
        <v>2381.0561629019858</v>
      </c>
      <c r="L86" s="25">
        <f>SUMSQ($I$72:I86)/B86</f>
        <v>848127.5271149968</v>
      </c>
      <c r="M86" s="25">
        <f>SUM($J$72:J86)/B86</f>
        <v>679.62235934601665</v>
      </c>
      <c r="N86" s="25">
        <f t="shared" si="14"/>
        <v>31.749447532901243</v>
      </c>
      <c r="O86" s="25">
        <f>AVERAGE($N$72:N86)</f>
        <v>13.296731022713924</v>
      </c>
      <c r="P86" s="41">
        <f>SUM($I$72:I86)/M86</f>
        <v>3.5034988625053711</v>
      </c>
      <c r="R86" s="4" t="s">
        <v>0</v>
      </c>
      <c r="S86" s="4">
        <v>15</v>
      </c>
      <c r="T86" s="4">
        <v>27324075.256835937</v>
      </c>
      <c r="U86" s="4"/>
      <c r="V86" s="4"/>
      <c r="W86" s="4"/>
    </row>
    <row r="87" spans="1:26" ht="13.5" thickBot="1" x14ac:dyDescent="0.25">
      <c r="A87" s="46" t="s">
        <v>3</v>
      </c>
      <c r="B87" s="13">
        <v>16</v>
      </c>
      <c r="C87" s="13">
        <v>3485</v>
      </c>
      <c r="D87" s="15">
        <f t="shared" si="9"/>
        <v>7835.0229779411711</v>
      </c>
      <c r="E87" s="15">
        <f t="shared" si="10"/>
        <v>263.94025735294082</v>
      </c>
      <c r="F87" s="17">
        <f t="shared" si="15"/>
        <v>0.41469276531543453</v>
      </c>
      <c r="G87" s="25">
        <f t="shared" si="11"/>
        <v>3249.1273450323952</v>
      </c>
      <c r="H87" s="34"/>
      <c r="I87" s="25">
        <f t="shared" si="12"/>
        <v>-235.87265496760483</v>
      </c>
      <c r="J87" s="25">
        <f t="shared" si="13"/>
        <v>235.87265496760483</v>
      </c>
      <c r="K87" s="25">
        <f>SUM($I$72:I87)</f>
        <v>2145.1835079343809</v>
      </c>
      <c r="L87" s="25">
        <f>SUMSQ($I$72:I87)/B87</f>
        <v>798596.80100540118</v>
      </c>
      <c r="M87" s="25">
        <f>SUM($J$72:J87)/B87</f>
        <v>651.88800282236593</v>
      </c>
      <c r="N87" s="25">
        <f t="shared" si="14"/>
        <v>6.7682253936185033</v>
      </c>
      <c r="O87" s="25">
        <f>AVERAGE($N$72:N87)</f>
        <v>12.888699420895462</v>
      </c>
      <c r="P87" s="41">
        <f>SUM($I$72:I87)/M87</f>
        <v>3.2907240180011805</v>
      </c>
    </row>
    <row r="88" spans="1:26" x14ac:dyDescent="0.2">
      <c r="A88" s="46" t="s">
        <v>4</v>
      </c>
      <c r="B88" s="13">
        <v>17</v>
      </c>
      <c r="C88" s="13">
        <v>7728</v>
      </c>
      <c r="D88" s="15">
        <f t="shared" si="9"/>
        <v>8098.9632352941117</v>
      </c>
      <c r="E88" s="15">
        <f t="shared" si="10"/>
        <v>263.94025735294082</v>
      </c>
      <c r="F88" s="17">
        <f t="shared" si="15"/>
        <v>0.76153343952399966</v>
      </c>
      <c r="G88" s="25">
        <f t="shared" si="11"/>
        <v>6167.6313291519446</v>
      </c>
      <c r="H88" s="34"/>
      <c r="I88" s="25">
        <f t="shared" si="12"/>
        <v>-1560.3686708480554</v>
      </c>
      <c r="J88" s="25">
        <f t="shared" si="13"/>
        <v>1560.3686708480554</v>
      </c>
      <c r="K88" s="25">
        <f>SUM($I$72:I88)</f>
        <v>584.8148370863255</v>
      </c>
      <c r="L88" s="25">
        <f>SUMSQ($I$72:I88)/B88</f>
        <v>894841.12970885565</v>
      </c>
      <c r="M88" s="25">
        <f>SUM($J$72:J88)/B88</f>
        <v>705.32804211799476</v>
      </c>
      <c r="N88" s="25">
        <f t="shared" si="14"/>
        <v>20.191105989234671</v>
      </c>
      <c r="O88" s="25">
        <f>AVERAGE($N$72:N88)</f>
        <v>13.318252748444827</v>
      </c>
      <c r="P88" s="41">
        <f>SUM($I$72:I88)/M88</f>
        <v>0.82913878672711483</v>
      </c>
      <c r="R88" s="5"/>
      <c r="S88" s="5" t="s">
        <v>26</v>
      </c>
      <c r="T88" s="5" t="s">
        <v>15</v>
      </c>
      <c r="U88" s="5" t="s">
        <v>27</v>
      </c>
      <c r="V88" s="5" t="s">
        <v>28</v>
      </c>
      <c r="W88" s="5" t="s">
        <v>29</v>
      </c>
      <c r="X88" s="5" t="s">
        <v>30</v>
      </c>
      <c r="Y88" s="5" t="s">
        <v>31</v>
      </c>
      <c r="Z88" s="5" t="s">
        <v>32</v>
      </c>
    </row>
    <row r="89" spans="1:26" x14ac:dyDescent="0.2">
      <c r="A89" s="46" t="s">
        <v>48</v>
      </c>
      <c r="B89" s="13">
        <v>18</v>
      </c>
      <c r="C89" s="13">
        <v>16591</v>
      </c>
      <c r="D89" s="15">
        <f t="shared" si="9"/>
        <v>8362.9034926470522</v>
      </c>
      <c r="E89" s="15">
        <f t="shared" si="10"/>
        <v>263.94025735294082</v>
      </c>
      <c r="F89" s="17">
        <f t="shared" si="15"/>
        <v>1.89921436419794</v>
      </c>
      <c r="G89" s="25">
        <f t="shared" si="11"/>
        <v>15882.946439636404</v>
      </c>
      <c r="H89" s="34"/>
      <c r="I89" s="25">
        <f t="shared" si="12"/>
        <v>-708.05356036359626</v>
      </c>
      <c r="J89" s="25">
        <f t="shared" si="13"/>
        <v>708.05356036359626</v>
      </c>
      <c r="K89" s="25">
        <f>SUM($I$72:I89)</f>
        <v>-123.23872327727076</v>
      </c>
      <c r="L89" s="25">
        <f>SUMSQ($I$72:I89)/B89</f>
        <v>872979.94718856178</v>
      </c>
      <c r="M89" s="25">
        <f>SUM($J$72:J89)/B89</f>
        <v>705.47945979830592</v>
      </c>
      <c r="N89" s="25">
        <f t="shared" si="14"/>
        <v>4.2676967052232913</v>
      </c>
      <c r="O89" s="25">
        <f>AVERAGE($N$72:N89)</f>
        <v>12.815444079376965</v>
      </c>
      <c r="P89" s="41">
        <f>SUM($I$72:I89)/M89</f>
        <v>-0.17468789709696761</v>
      </c>
      <c r="R89" s="3" t="s">
        <v>20</v>
      </c>
      <c r="S89" s="83">
        <v>3611.9788602941221</v>
      </c>
      <c r="T89" s="3">
        <v>317.02991210162969</v>
      </c>
      <c r="U89" s="3">
        <v>11.393180019985738</v>
      </c>
      <c r="V89" s="3">
        <v>1.8153931026474335E-8</v>
      </c>
      <c r="W89" s="3">
        <v>2932.0167203497354</v>
      </c>
      <c r="X89" s="3">
        <v>4291.9410002385093</v>
      </c>
      <c r="Y89" s="3">
        <v>2932.0167203497354</v>
      </c>
      <c r="Z89" s="3">
        <v>4291.9410002385093</v>
      </c>
    </row>
    <row r="90" spans="1:26" ht="13.5" thickBot="1" x14ac:dyDescent="0.25">
      <c r="A90" s="46" t="s">
        <v>5</v>
      </c>
      <c r="B90" s="13">
        <v>19</v>
      </c>
      <c r="C90" s="13">
        <v>8236</v>
      </c>
      <c r="D90" s="15">
        <f t="shared" si="9"/>
        <v>8626.8437499999927</v>
      </c>
      <c r="E90" s="15">
        <f t="shared" si="10"/>
        <v>263.94025735294082</v>
      </c>
      <c r="F90" s="17">
        <f t="shared" si="15"/>
        <v>0.94804272605210582</v>
      </c>
      <c r="G90" s="25">
        <f t="shared" si="11"/>
        <v>8178.6164659755641</v>
      </c>
      <c r="H90" s="34"/>
      <c r="I90" s="25">
        <f t="shared" si="12"/>
        <v>-57.383534024435903</v>
      </c>
      <c r="J90" s="25">
        <f t="shared" si="13"/>
        <v>57.383534024435903</v>
      </c>
      <c r="K90" s="25">
        <f>SUM($I$72:I90)</f>
        <v>-180.62225730170667</v>
      </c>
      <c r="L90" s="25">
        <f>SUMSQ($I$72:I90)/B90</f>
        <v>827206.94312480243</v>
      </c>
      <c r="M90" s="25">
        <f>SUM($J$72:J90)/B90</f>
        <v>671.36914791547065</v>
      </c>
      <c r="N90" s="25">
        <f t="shared" si="14"/>
        <v>0.69674033541082936</v>
      </c>
      <c r="O90" s="25">
        <f>AVERAGE($N$72:N90)</f>
        <v>12.177617566536641</v>
      </c>
      <c r="P90" s="41">
        <f>SUM($I$72:I90)/M90</f>
        <v>-0.26903568307021469</v>
      </c>
      <c r="R90" s="4" t="s">
        <v>33</v>
      </c>
      <c r="S90" s="84">
        <v>263.94025735294082</v>
      </c>
      <c r="T90" s="4">
        <v>27.646322119705495</v>
      </c>
      <c r="U90" s="4">
        <v>9.5470296631178968</v>
      </c>
      <c r="V90" s="4">
        <v>1.6535710949282776E-7</v>
      </c>
      <c r="W90" s="4">
        <v>204.64474095989902</v>
      </c>
      <c r="X90" s="4">
        <v>323.23577374598261</v>
      </c>
      <c r="Y90" s="4">
        <v>204.64474095989902</v>
      </c>
      <c r="Z90" s="4">
        <v>323.23577374598261</v>
      </c>
    </row>
    <row r="91" spans="1:26" ht="13.5" thickBot="1" x14ac:dyDescent="0.25">
      <c r="A91" s="47" t="s">
        <v>3</v>
      </c>
      <c r="B91" s="14">
        <v>20</v>
      </c>
      <c r="C91" s="14">
        <v>3316</v>
      </c>
      <c r="D91" s="16">
        <f t="shared" si="9"/>
        <v>8890.7840073529333</v>
      </c>
      <c r="E91" s="16">
        <f t="shared" si="10"/>
        <v>263.94025735294082</v>
      </c>
      <c r="F91" s="17">
        <f t="shared" si="15"/>
        <v>0.41469276531543453</v>
      </c>
      <c r="G91" s="25">
        <f t="shared" si="11"/>
        <v>3686.9438058314286</v>
      </c>
      <c r="H91" s="34"/>
      <c r="I91" s="26">
        <f t="shared" si="12"/>
        <v>370.94380583142856</v>
      </c>
      <c r="J91" s="26">
        <f t="shared" si="13"/>
        <v>370.94380583142856</v>
      </c>
      <c r="K91" s="26">
        <f>SUM($I$72:I91)</f>
        <v>190.32154852972189</v>
      </c>
      <c r="L91" s="26">
        <f>SUMSQ($I$72:I91)/B91</f>
        <v>792726.56132279744</v>
      </c>
      <c r="M91" s="26">
        <f>SUM($J$72:J91)/B91</f>
        <v>656.34788081126851</v>
      </c>
      <c r="N91" s="26">
        <f t="shared" si="14"/>
        <v>11.186483891176977</v>
      </c>
      <c r="O91" s="26">
        <f>AVERAGE($N$72:N91)</f>
        <v>12.128060882768658</v>
      </c>
      <c r="P91" s="42">
        <f>SUM($I$72:I91)/M91</f>
        <v>0.28997053863338135</v>
      </c>
    </row>
    <row r="92" spans="1:26" ht="13.5" thickBot="1" x14ac:dyDescent="0.25">
      <c r="A92" s="45" t="s">
        <v>4</v>
      </c>
      <c r="B92" s="58">
        <v>21</v>
      </c>
      <c r="C92" s="52"/>
      <c r="D92" s="53"/>
      <c r="E92" s="53"/>
      <c r="F92" s="64">
        <f t="shared" si="15"/>
        <v>0.76153343952399966</v>
      </c>
      <c r="G92" s="69">
        <f t="shared" ref="G92:G103" si="16">($D$49+$E$49*(B92-20))*F92</f>
        <v>7110.4127834965238</v>
      </c>
      <c r="H92" s="34"/>
      <c r="I92" s="34"/>
      <c r="J92" s="34"/>
      <c r="K92" s="34"/>
      <c r="L92" s="76" t="s">
        <v>62</v>
      </c>
      <c r="M92" s="77">
        <f>M91*1.25</f>
        <v>820.43485101408567</v>
      </c>
      <c r="N92" s="34"/>
      <c r="O92" s="34"/>
      <c r="P92" s="35"/>
    </row>
    <row r="93" spans="1:26" x14ac:dyDescent="0.2">
      <c r="A93" s="46" t="s">
        <v>48</v>
      </c>
      <c r="B93" s="13">
        <v>22</v>
      </c>
      <c r="C93" s="52"/>
      <c r="D93" s="53"/>
      <c r="E93" s="53"/>
      <c r="F93" s="65">
        <f t="shared" si="15"/>
        <v>1.89921436419794</v>
      </c>
      <c r="G93" s="70">
        <f t="shared" si="16"/>
        <v>18295.48708121094</v>
      </c>
      <c r="H93" s="34"/>
      <c r="I93" s="34"/>
      <c r="J93" s="34"/>
      <c r="K93" s="34"/>
      <c r="L93" s="34"/>
      <c r="M93" s="34"/>
      <c r="N93" s="34"/>
      <c r="O93" s="34"/>
      <c r="P93" s="35"/>
    </row>
    <row r="94" spans="1:26" x14ac:dyDescent="0.2">
      <c r="A94" s="46" t="s">
        <v>5</v>
      </c>
      <c r="B94" s="13">
        <v>23</v>
      </c>
      <c r="C94" s="52"/>
      <c r="D94" s="53"/>
      <c r="E94" s="53"/>
      <c r="F94" s="65">
        <f t="shared" si="15"/>
        <v>0.94804272605210582</v>
      </c>
      <c r="G94" s="70">
        <f t="shared" si="16"/>
        <v>9413.5018026187263</v>
      </c>
      <c r="H94" s="34"/>
      <c r="I94" s="34"/>
      <c r="J94" s="34"/>
      <c r="K94" s="34"/>
      <c r="L94" s="34"/>
      <c r="M94" s="34"/>
      <c r="N94" s="34"/>
      <c r="O94" s="34"/>
      <c r="P94" s="35"/>
      <c r="R94" s="86" t="s">
        <v>35</v>
      </c>
      <c r="S94" s="10"/>
    </row>
    <row r="95" spans="1:26" x14ac:dyDescent="0.2">
      <c r="A95" s="46" t="s">
        <v>3</v>
      </c>
      <c r="B95" s="13">
        <v>24</v>
      </c>
      <c r="C95" s="52"/>
      <c r="D95" s="53"/>
      <c r="E95" s="53"/>
      <c r="F95" s="65">
        <f t="shared" si="15"/>
        <v>0.41469276531543453</v>
      </c>
      <c r="G95" s="70">
        <f t="shared" si="16"/>
        <v>4240.4933039473181</v>
      </c>
      <c r="H95" s="34"/>
      <c r="I95" s="34"/>
      <c r="J95" s="34"/>
      <c r="K95" s="34"/>
      <c r="L95" s="34"/>
      <c r="M95" s="34"/>
      <c r="N95" s="34"/>
      <c r="O95" s="34"/>
      <c r="P95" s="35"/>
      <c r="R95" s="11" t="s">
        <v>2</v>
      </c>
      <c r="S95" s="10" t="s">
        <v>0</v>
      </c>
    </row>
    <row r="96" spans="1:26" x14ac:dyDescent="0.2">
      <c r="A96" s="46" t="s">
        <v>4</v>
      </c>
      <c r="B96" s="13">
        <v>25</v>
      </c>
      <c r="C96" s="52"/>
      <c r="D96" s="53"/>
      <c r="E96" s="53"/>
      <c r="F96" s="65">
        <f t="shared" ref="F96:F103" si="17">F92</f>
        <v>0.76153343952399966</v>
      </c>
      <c r="G96" s="70">
        <f t="shared" si="16"/>
        <v>8012.7377005874769</v>
      </c>
      <c r="H96" s="34"/>
      <c r="I96" s="34"/>
      <c r="J96" s="34"/>
      <c r="K96" s="34"/>
      <c r="L96" s="34"/>
      <c r="M96" s="34"/>
      <c r="N96" s="34"/>
      <c r="O96" s="34"/>
      <c r="P96" s="35"/>
      <c r="R96" s="9" t="s">
        <v>4</v>
      </c>
      <c r="S96" s="20">
        <v>0.76153343952399966</v>
      </c>
    </row>
    <row r="97" spans="1:19" x14ac:dyDescent="0.2">
      <c r="A97" s="46" t="s">
        <v>48</v>
      </c>
      <c r="B97" s="13">
        <v>26</v>
      </c>
      <c r="C97" s="52"/>
      <c r="D97" s="53"/>
      <c r="E97" s="53"/>
      <c r="F97" s="65">
        <f t="shared" si="17"/>
        <v>1.89921436419794</v>
      </c>
      <c r="G97" s="70">
        <f t="shared" si="16"/>
        <v>20545.826140233763</v>
      </c>
      <c r="H97" s="34"/>
      <c r="I97" s="34"/>
      <c r="J97" s="34"/>
      <c r="K97" s="34"/>
      <c r="L97" s="34"/>
      <c r="M97" s="34"/>
      <c r="N97" s="34"/>
      <c r="O97" s="34"/>
      <c r="P97" s="35"/>
      <c r="R97" s="12" t="s">
        <v>48</v>
      </c>
      <c r="S97" s="21">
        <v>1.89921436419794</v>
      </c>
    </row>
    <row r="98" spans="1:19" x14ac:dyDescent="0.2">
      <c r="A98" s="46" t="s">
        <v>5</v>
      </c>
      <c r="B98" s="13">
        <v>27</v>
      </c>
      <c r="C98" s="52"/>
      <c r="D98" s="53"/>
      <c r="E98" s="53"/>
      <c r="F98" s="65">
        <f t="shared" si="17"/>
        <v>0.94804272605210582</v>
      </c>
      <c r="G98" s="70">
        <f t="shared" si="16"/>
        <v>10536.81764114362</v>
      </c>
      <c r="H98" s="34"/>
      <c r="I98" s="34"/>
      <c r="J98" s="34"/>
      <c r="K98" s="34"/>
      <c r="L98" s="34"/>
      <c r="M98" s="34"/>
      <c r="N98" s="34"/>
      <c r="O98" s="34"/>
      <c r="P98" s="35"/>
      <c r="R98" s="12" t="s">
        <v>5</v>
      </c>
      <c r="S98" s="21">
        <v>0.94804272605210582</v>
      </c>
    </row>
    <row r="99" spans="1:19" x14ac:dyDescent="0.2">
      <c r="A99" s="46" t="s">
        <v>3</v>
      </c>
      <c r="B99" s="13">
        <v>28</v>
      </c>
      <c r="C99" s="52"/>
      <c r="D99" s="53"/>
      <c r="E99" s="53"/>
      <c r="F99" s="65">
        <f t="shared" si="17"/>
        <v>0.41469276531543453</v>
      </c>
      <c r="G99" s="70">
        <f t="shared" si="16"/>
        <v>4731.8540186066184</v>
      </c>
      <c r="H99" s="34"/>
      <c r="I99" s="34"/>
      <c r="J99" s="34"/>
      <c r="K99" s="34"/>
      <c r="L99" s="34"/>
      <c r="M99" s="34"/>
      <c r="N99" s="34"/>
      <c r="O99" s="34"/>
      <c r="P99" s="35"/>
      <c r="R99" s="19" t="s">
        <v>3</v>
      </c>
      <c r="S99" s="22">
        <v>0.41469276531543453</v>
      </c>
    </row>
    <row r="100" spans="1:19" x14ac:dyDescent="0.2">
      <c r="A100" s="46" t="s">
        <v>4</v>
      </c>
      <c r="B100" s="13">
        <v>29</v>
      </c>
      <c r="C100" s="52"/>
      <c r="D100" s="53"/>
      <c r="E100" s="53"/>
      <c r="F100" s="65">
        <f t="shared" si="17"/>
        <v>0.76153343952399966</v>
      </c>
      <c r="G100" s="70">
        <f t="shared" si="16"/>
        <v>8915.0626176784317</v>
      </c>
      <c r="H100" s="34"/>
      <c r="I100" s="34"/>
      <c r="J100" s="34"/>
      <c r="K100" s="34"/>
      <c r="L100" s="34"/>
      <c r="M100" s="34"/>
      <c r="N100" s="34"/>
      <c r="O100" s="34"/>
      <c r="P100" s="35"/>
    </row>
    <row r="101" spans="1:19" x14ac:dyDescent="0.2">
      <c r="A101" s="46" t="s">
        <v>48</v>
      </c>
      <c r="B101" s="13">
        <v>30</v>
      </c>
      <c r="C101" s="1"/>
      <c r="D101" s="1"/>
      <c r="E101" s="1"/>
      <c r="F101" s="65">
        <f t="shared" si="17"/>
        <v>1.89921436419794</v>
      </c>
      <c r="G101" s="70">
        <f t="shared" si="16"/>
        <v>22796.165199256597</v>
      </c>
      <c r="H101" s="36"/>
      <c r="I101" s="36"/>
      <c r="J101" s="36"/>
      <c r="K101" s="36"/>
      <c r="L101" s="36"/>
      <c r="M101" s="36"/>
      <c r="N101" s="36"/>
      <c r="O101" s="36"/>
      <c r="P101" s="43"/>
      <c r="Q101" s="37"/>
    </row>
    <row r="102" spans="1:19" x14ac:dyDescent="0.2">
      <c r="A102" s="46" t="s">
        <v>5</v>
      </c>
      <c r="B102" s="13">
        <v>31</v>
      </c>
      <c r="C102" s="1"/>
      <c r="D102" s="1"/>
      <c r="E102" s="1"/>
      <c r="F102" s="65">
        <f t="shared" si="17"/>
        <v>0.94804272605210582</v>
      </c>
      <c r="G102" s="70">
        <f t="shared" si="16"/>
        <v>11660.133479668513</v>
      </c>
      <c r="H102" s="36"/>
      <c r="I102" s="36"/>
      <c r="J102" s="36"/>
      <c r="K102" s="36"/>
      <c r="L102" s="36"/>
      <c r="M102" s="36"/>
      <c r="N102" s="36"/>
      <c r="O102" s="36"/>
      <c r="P102" s="43"/>
      <c r="Q102" s="37"/>
    </row>
    <row r="103" spans="1:19" x14ac:dyDescent="0.2">
      <c r="A103" s="47" t="s">
        <v>3</v>
      </c>
      <c r="B103" s="14">
        <v>32</v>
      </c>
      <c r="C103" s="1"/>
      <c r="D103" s="1"/>
      <c r="E103" s="1"/>
      <c r="F103" s="66">
        <f t="shared" si="17"/>
        <v>0.41469276531543453</v>
      </c>
      <c r="G103" s="71">
        <f t="shared" si="16"/>
        <v>5223.2147332659188</v>
      </c>
      <c r="H103" s="36"/>
      <c r="I103" s="36"/>
      <c r="J103" s="36"/>
      <c r="K103" s="36"/>
      <c r="L103" s="36"/>
      <c r="M103" s="36"/>
      <c r="N103" s="36"/>
      <c r="O103" s="36"/>
      <c r="P103" s="43"/>
      <c r="Q103" s="37"/>
    </row>
    <row r="104" spans="1:19" x14ac:dyDescent="0.2">
      <c r="A104" s="1"/>
      <c r="B104" s="1"/>
      <c r="C104" s="1"/>
      <c r="D104" s="1"/>
      <c r="E104" s="1"/>
      <c r="F104" s="35"/>
      <c r="G104" s="55"/>
      <c r="H104" s="36"/>
      <c r="I104" s="36"/>
      <c r="J104" s="36"/>
      <c r="K104" s="36"/>
      <c r="L104" s="36"/>
      <c r="M104" s="36"/>
      <c r="N104" s="36"/>
      <c r="O104" s="36"/>
      <c r="P104" s="43"/>
      <c r="Q104" s="37"/>
    </row>
    <row r="105" spans="1:19" x14ac:dyDescent="0.2">
      <c r="A105" s="1"/>
      <c r="B105" s="1"/>
      <c r="C105" s="1"/>
      <c r="D105" s="1"/>
      <c r="E105" s="1"/>
      <c r="F105" s="35"/>
      <c r="G105" s="55"/>
      <c r="H105" s="36"/>
      <c r="I105" s="36"/>
      <c r="J105" s="36"/>
      <c r="K105" s="36"/>
      <c r="L105" s="36"/>
      <c r="M105" s="36"/>
      <c r="N105" s="36"/>
      <c r="O105" s="36"/>
      <c r="P105" s="43"/>
      <c r="Q105" s="37"/>
    </row>
    <row r="106" spans="1:19" x14ac:dyDescent="0.2">
      <c r="A106" s="1"/>
      <c r="B106" s="1"/>
      <c r="C106" s="1"/>
      <c r="D106" s="1"/>
      <c r="E106" s="1"/>
      <c r="F106" s="35"/>
      <c r="G106" s="55"/>
      <c r="H106" s="36"/>
      <c r="I106" s="36"/>
      <c r="J106" s="36"/>
      <c r="K106" s="36"/>
      <c r="L106" s="36"/>
      <c r="M106" s="36"/>
      <c r="N106" s="36"/>
      <c r="O106" s="36"/>
      <c r="P106" s="43"/>
      <c r="Q106" s="37"/>
    </row>
    <row r="107" spans="1:19" x14ac:dyDescent="0.2">
      <c r="A107" s="1"/>
      <c r="B107" s="1"/>
      <c r="C107" s="1"/>
      <c r="D107" s="1"/>
      <c r="E107" s="1"/>
      <c r="F107" s="35"/>
      <c r="G107" s="55"/>
      <c r="H107" s="36"/>
      <c r="I107" s="36"/>
      <c r="J107" s="36"/>
      <c r="K107" s="36"/>
      <c r="L107" s="36"/>
      <c r="M107" s="36"/>
      <c r="N107" s="36"/>
      <c r="O107" s="36"/>
      <c r="P107" s="43"/>
      <c r="Q107" s="37"/>
    </row>
    <row r="108" spans="1:19" x14ac:dyDescent="0.2">
      <c r="A108" s="1"/>
      <c r="B108" s="1"/>
      <c r="C108" s="1"/>
      <c r="D108" s="1"/>
      <c r="E108" s="1"/>
      <c r="F108" s="35"/>
      <c r="G108" s="55"/>
      <c r="H108" s="36"/>
      <c r="I108" s="36"/>
      <c r="J108" s="36"/>
      <c r="K108" s="36"/>
      <c r="L108" s="36"/>
      <c r="M108" s="36"/>
      <c r="N108" s="36"/>
      <c r="O108" s="36"/>
      <c r="P108" s="43"/>
      <c r="Q108" s="37"/>
    </row>
    <row r="109" spans="1:19" x14ac:dyDescent="0.2">
      <c r="A109" s="1"/>
      <c r="B109" s="1"/>
      <c r="C109" s="1"/>
      <c r="D109" s="1"/>
      <c r="E109" s="1"/>
      <c r="F109" s="1"/>
      <c r="G109" s="55"/>
      <c r="H109" s="36"/>
      <c r="I109" s="36"/>
      <c r="J109" s="36"/>
      <c r="K109" s="36"/>
      <c r="L109" s="36"/>
      <c r="M109" s="36"/>
      <c r="N109" s="36"/>
      <c r="O109" s="36"/>
      <c r="P109" s="43"/>
      <c r="Q109" s="37"/>
    </row>
    <row r="110" spans="1:19" x14ac:dyDescent="0.2">
      <c r="A110" s="1"/>
      <c r="B110" s="1"/>
      <c r="C110" s="1"/>
      <c r="D110" s="1"/>
      <c r="E110" s="1"/>
      <c r="F110" s="1"/>
      <c r="G110" s="55"/>
      <c r="H110" s="36"/>
      <c r="I110" s="36"/>
      <c r="J110" s="36"/>
      <c r="K110" s="36"/>
      <c r="L110" s="36"/>
      <c r="M110" s="36"/>
      <c r="N110" s="36"/>
      <c r="O110" s="36"/>
      <c r="P110" s="43"/>
      <c r="Q110" s="37"/>
    </row>
    <row r="111" spans="1:19" x14ac:dyDescent="0.2">
      <c r="A111" s="1"/>
      <c r="B111" s="1"/>
      <c r="C111" s="1"/>
      <c r="D111" s="1"/>
      <c r="E111" s="1"/>
      <c r="F111" s="1"/>
      <c r="G111" s="55"/>
      <c r="H111" s="56"/>
      <c r="I111" s="56"/>
      <c r="J111" s="56"/>
      <c r="K111" s="56"/>
      <c r="L111" s="56"/>
      <c r="M111" s="56"/>
      <c r="N111" s="56"/>
      <c r="O111" s="56"/>
      <c r="P111" s="57"/>
      <c r="Q111" s="37"/>
    </row>
    <row r="112" spans="1:19" x14ac:dyDescent="0.2">
      <c r="A112" s="1"/>
      <c r="B112" s="1"/>
      <c r="C112" s="1"/>
      <c r="D112" s="1"/>
      <c r="E112" s="1"/>
      <c r="F112" s="1"/>
      <c r="G112" s="55"/>
      <c r="H112" s="56"/>
      <c r="I112" s="56"/>
      <c r="J112" s="56"/>
      <c r="K112" s="56"/>
      <c r="L112" s="56"/>
      <c r="M112" s="56"/>
      <c r="N112" s="56"/>
      <c r="O112" s="56"/>
      <c r="P112" s="57"/>
      <c r="Q112" s="37"/>
    </row>
    <row r="113" spans="1:17" x14ac:dyDescent="0.2">
      <c r="A113" s="1"/>
      <c r="B113" s="1"/>
      <c r="C113" s="1"/>
      <c r="D113" s="1"/>
      <c r="E113" s="1"/>
      <c r="F113" s="1"/>
      <c r="G113" s="55"/>
      <c r="H113" s="56"/>
      <c r="I113" s="56"/>
      <c r="J113" s="56"/>
      <c r="K113" s="56"/>
      <c r="L113" s="56"/>
      <c r="M113" s="56"/>
      <c r="N113" s="56"/>
      <c r="O113" s="56"/>
      <c r="P113" s="57"/>
      <c r="Q113" s="37"/>
    </row>
    <row r="114" spans="1:17" x14ac:dyDescent="0.2">
      <c r="A114" s="1"/>
      <c r="B114" s="1"/>
      <c r="C114" s="1"/>
      <c r="D114" s="1"/>
      <c r="E114" s="1"/>
      <c r="F114" s="1"/>
      <c r="G114" s="55"/>
      <c r="H114" s="56"/>
      <c r="I114" s="56"/>
      <c r="J114" s="56"/>
      <c r="K114" s="56"/>
      <c r="L114" s="56"/>
      <c r="M114" s="56"/>
      <c r="N114" s="56"/>
      <c r="O114" s="56"/>
      <c r="P114" s="57"/>
      <c r="Q114" s="37"/>
    </row>
    <row r="115" spans="1:17" x14ac:dyDescent="0.2">
      <c r="A115" s="1"/>
      <c r="B115" s="1"/>
      <c r="C115" s="1"/>
      <c r="D115" s="1"/>
      <c r="E115" s="1"/>
      <c r="F115" s="1"/>
      <c r="G115" s="55"/>
      <c r="H115" s="56"/>
      <c r="I115" s="56"/>
      <c r="J115" s="56"/>
      <c r="K115" s="56"/>
      <c r="L115" s="56"/>
      <c r="M115" s="56"/>
      <c r="N115" s="56"/>
      <c r="O115" s="56"/>
      <c r="P115" s="57"/>
      <c r="Q115" s="37"/>
    </row>
    <row r="116" spans="1:17" x14ac:dyDescent="0.2">
      <c r="A116" s="1"/>
      <c r="B116" s="1"/>
      <c r="C116" s="1"/>
      <c r="D116" s="1"/>
      <c r="E116" s="1"/>
      <c r="F116" s="1"/>
      <c r="G116" s="55"/>
      <c r="H116" s="56"/>
      <c r="I116" s="56"/>
      <c r="J116" s="56"/>
      <c r="K116" s="56"/>
      <c r="L116" s="56"/>
      <c r="M116" s="56"/>
      <c r="N116" s="56"/>
      <c r="O116" s="56"/>
      <c r="P116" s="57"/>
      <c r="Q116" s="37"/>
    </row>
    <row r="117" spans="1:17" x14ac:dyDescent="0.2">
      <c r="A117" s="1"/>
      <c r="B117" s="1"/>
      <c r="C117" s="1"/>
      <c r="D117" s="1"/>
      <c r="E117" s="1"/>
      <c r="F117" s="1"/>
      <c r="G117" s="55"/>
      <c r="H117" s="56"/>
      <c r="I117" s="56"/>
      <c r="J117" s="56"/>
      <c r="K117" s="56"/>
      <c r="L117" s="56"/>
      <c r="M117" s="56"/>
      <c r="N117" s="56"/>
      <c r="O117" s="56"/>
      <c r="P117" s="57"/>
      <c r="Q117" s="37"/>
    </row>
    <row r="118" spans="1:17" x14ac:dyDescent="0.2">
      <c r="A118" s="1"/>
      <c r="B118" s="1"/>
      <c r="C118" s="1"/>
      <c r="D118" s="1"/>
      <c r="E118" s="1"/>
      <c r="F118" s="1"/>
      <c r="G118" s="55"/>
      <c r="H118" s="56"/>
      <c r="I118" s="56"/>
      <c r="J118" s="56"/>
      <c r="K118" s="56"/>
      <c r="L118" s="56"/>
      <c r="M118" s="56"/>
      <c r="N118" s="56"/>
      <c r="O118" s="56"/>
      <c r="P118" s="57"/>
      <c r="Q118" s="37"/>
    </row>
    <row r="119" spans="1:17" x14ac:dyDescent="0.2">
      <c r="A119" s="1"/>
      <c r="B119" s="1"/>
      <c r="C119" s="1"/>
      <c r="D119" s="1"/>
      <c r="E119" s="1"/>
      <c r="F119" s="1"/>
      <c r="G119" s="55"/>
      <c r="H119" s="56"/>
      <c r="I119" s="56"/>
      <c r="J119" s="56"/>
      <c r="K119" s="56"/>
      <c r="L119" s="56"/>
      <c r="M119" s="56"/>
      <c r="N119" s="56"/>
      <c r="O119" s="56"/>
      <c r="P119" s="57"/>
      <c r="Q119" s="37"/>
    </row>
    <row r="120" spans="1:17" x14ac:dyDescent="0.2">
      <c r="A120" s="1"/>
      <c r="B120" s="1"/>
      <c r="C120" s="1"/>
      <c r="D120" s="1"/>
      <c r="E120" s="1"/>
      <c r="F120" s="1"/>
      <c r="G120" s="55"/>
      <c r="H120" s="56"/>
      <c r="I120" s="56"/>
      <c r="J120" s="56"/>
      <c r="K120" s="56"/>
      <c r="L120" s="56"/>
      <c r="M120" s="56"/>
      <c r="N120" s="56"/>
      <c r="O120" s="56"/>
      <c r="P120" s="57"/>
      <c r="Q120" s="37"/>
    </row>
    <row r="121" spans="1:17" x14ac:dyDescent="0.2">
      <c r="A121" s="1"/>
      <c r="B121" s="1"/>
      <c r="C121" s="1"/>
      <c r="D121" s="1"/>
      <c r="E121" s="1"/>
      <c r="F121" s="1"/>
      <c r="G121" s="55"/>
      <c r="H121" s="56"/>
      <c r="I121" s="56"/>
      <c r="J121" s="56"/>
      <c r="K121" s="56"/>
      <c r="L121" s="56"/>
      <c r="M121" s="56"/>
      <c r="N121" s="56"/>
      <c r="O121" s="56"/>
      <c r="P121" s="57"/>
      <c r="Q121" s="37"/>
    </row>
    <row r="122" spans="1:17" x14ac:dyDescent="0.2">
      <c r="A122" s="1"/>
      <c r="B122" s="1"/>
      <c r="C122" s="1"/>
      <c r="D122" s="1"/>
      <c r="E122" s="1"/>
      <c r="F122" s="1"/>
      <c r="G122" s="55"/>
      <c r="H122" s="56"/>
      <c r="I122" s="56"/>
      <c r="J122" s="56"/>
      <c r="K122" s="56"/>
      <c r="L122" s="56"/>
      <c r="M122" s="56"/>
      <c r="N122" s="56"/>
      <c r="O122" s="56"/>
      <c r="P122" s="57"/>
      <c r="Q122" s="37"/>
    </row>
    <row r="123" spans="1:17" x14ac:dyDescent="0.2">
      <c r="A123" s="1"/>
      <c r="B123" s="1"/>
      <c r="C123" s="1"/>
      <c r="D123" s="1"/>
      <c r="E123" s="1"/>
      <c r="F123" s="1"/>
      <c r="G123" s="55"/>
      <c r="H123" s="56"/>
      <c r="I123" s="56"/>
      <c r="J123" s="56"/>
      <c r="K123" s="56"/>
      <c r="L123" s="56"/>
      <c r="M123" s="56"/>
      <c r="N123" s="56"/>
      <c r="O123" s="56"/>
      <c r="P123" s="57"/>
      <c r="Q123" s="37"/>
    </row>
    <row r="124" spans="1:17" x14ac:dyDescent="0.2">
      <c r="A124" s="1"/>
      <c r="B124" s="1"/>
      <c r="C124" s="1"/>
      <c r="D124" s="1"/>
      <c r="E124" s="1"/>
      <c r="F124" s="1"/>
      <c r="G124" s="55"/>
      <c r="H124" s="56"/>
      <c r="I124" s="56"/>
      <c r="J124" s="56"/>
      <c r="K124" s="56"/>
      <c r="L124" s="56"/>
      <c r="M124" s="56"/>
      <c r="N124" s="56"/>
      <c r="O124" s="56"/>
      <c r="P124" s="57"/>
      <c r="Q124" s="37"/>
    </row>
    <row r="125" spans="1:17" x14ac:dyDescent="0.2">
      <c r="F125" s="2"/>
      <c r="H125" s="37"/>
      <c r="I125" s="37"/>
      <c r="J125" s="37"/>
      <c r="K125" s="37"/>
      <c r="L125" s="37"/>
      <c r="M125" s="37"/>
      <c r="N125" s="37"/>
      <c r="O125" s="37"/>
      <c r="P125" s="44"/>
      <c r="Q125" s="37"/>
    </row>
    <row r="126" spans="1:17" x14ac:dyDescent="0.2">
      <c r="F126" s="2"/>
      <c r="H126" s="37"/>
      <c r="I126" s="37"/>
      <c r="J126" s="37"/>
      <c r="K126" s="37"/>
      <c r="L126" s="37"/>
      <c r="M126" s="37"/>
      <c r="N126" s="37"/>
      <c r="O126" s="37"/>
      <c r="P126" s="44"/>
      <c r="Q126" s="37"/>
    </row>
    <row r="127" spans="1:17" x14ac:dyDescent="0.2">
      <c r="G127" s="37"/>
      <c r="H127" s="37"/>
      <c r="I127" s="37"/>
      <c r="J127" s="37"/>
      <c r="K127" s="37"/>
      <c r="L127" s="37"/>
      <c r="M127" s="37"/>
      <c r="N127" s="37"/>
      <c r="O127" s="44"/>
      <c r="P127" s="37"/>
    </row>
    <row r="128" spans="1:17" x14ac:dyDescent="0.2">
      <c r="G128" s="37"/>
      <c r="H128" s="37"/>
      <c r="I128" s="37"/>
      <c r="J128" s="37"/>
      <c r="K128" s="37"/>
      <c r="L128" s="37"/>
      <c r="M128" s="37"/>
      <c r="N128" s="37"/>
      <c r="O128" s="44"/>
      <c r="P128" s="37"/>
    </row>
    <row r="129" spans="7:16" x14ac:dyDescent="0.2">
      <c r="G129" s="37"/>
      <c r="H129" s="37"/>
      <c r="I129" s="37"/>
      <c r="J129" s="37"/>
      <c r="K129" s="37"/>
      <c r="L129" s="37"/>
      <c r="M129" s="37"/>
      <c r="N129" s="37"/>
      <c r="O129" s="44"/>
      <c r="P129" s="37"/>
    </row>
    <row r="130" spans="7:16" x14ac:dyDescent="0.2">
      <c r="G130" s="37"/>
      <c r="H130" s="37"/>
      <c r="I130" s="37"/>
      <c r="J130" s="37"/>
      <c r="K130" s="37"/>
      <c r="L130" s="37"/>
      <c r="M130" s="37"/>
      <c r="N130" s="37"/>
      <c r="O130" s="44"/>
      <c r="P130" s="37"/>
    </row>
    <row r="131" spans="7:16" x14ac:dyDescent="0.2">
      <c r="G131" s="37"/>
      <c r="H131" s="37"/>
      <c r="I131" s="37"/>
      <c r="J131" s="37"/>
      <c r="K131" s="37"/>
      <c r="L131" s="37"/>
      <c r="M131" s="37"/>
      <c r="N131" s="37"/>
      <c r="O131" s="44"/>
      <c r="P131" s="37"/>
    </row>
    <row r="132" spans="7:16" x14ac:dyDescent="0.2">
      <c r="G132" s="37"/>
      <c r="H132" s="37"/>
      <c r="I132" s="37"/>
      <c r="J132" s="37"/>
      <c r="K132" s="37"/>
      <c r="L132" s="37"/>
      <c r="M132" s="37"/>
      <c r="N132" s="37"/>
      <c r="O132" s="44"/>
      <c r="P132" s="37"/>
    </row>
    <row r="133" spans="7:16" x14ac:dyDescent="0.2">
      <c r="G133" s="37"/>
      <c r="H133" s="37"/>
      <c r="I133" s="37"/>
      <c r="J133" s="37"/>
      <c r="K133" s="37"/>
      <c r="L133" s="37"/>
      <c r="M133" s="37"/>
      <c r="N133" s="37"/>
      <c r="O133" s="44"/>
      <c r="P133" s="37"/>
    </row>
  </sheetData>
  <mergeCells count="42">
    <mergeCell ref="C7:D7"/>
    <mergeCell ref="C8:D8"/>
    <mergeCell ref="C9:D9"/>
    <mergeCell ref="C10:D10"/>
    <mergeCell ref="C17:D17"/>
    <mergeCell ref="C18:D18"/>
    <mergeCell ref="C11:D11"/>
    <mergeCell ref="C12:D12"/>
    <mergeCell ref="C13:D13"/>
    <mergeCell ref="C14:D14"/>
    <mergeCell ref="C23:D23"/>
    <mergeCell ref="C24:D24"/>
    <mergeCell ref="C4:D4"/>
    <mergeCell ref="E4:F4"/>
    <mergeCell ref="E5:F5"/>
    <mergeCell ref="E6:F6"/>
    <mergeCell ref="C5:D5"/>
    <mergeCell ref="C6:D6"/>
    <mergeCell ref="E7:F7"/>
    <mergeCell ref="E8:F8"/>
    <mergeCell ref="C19:D19"/>
    <mergeCell ref="C20:D20"/>
    <mergeCell ref="C21:D21"/>
    <mergeCell ref="C22:D22"/>
    <mergeCell ref="C15:D15"/>
    <mergeCell ref="C16:D16"/>
    <mergeCell ref="E13:F13"/>
    <mergeCell ref="E14:F14"/>
    <mergeCell ref="E15:F15"/>
    <mergeCell ref="E16:F16"/>
    <mergeCell ref="E9:F9"/>
    <mergeCell ref="E10:F10"/>
    <mergeCell ref="E11:F11"/>
    <mergeCell ref="E12:F12"/>
    <mergeCell ref="E17:F17"/>
    <mergeCell ref="E18:F18"/>
    <mergeCell ref="E23:F23"/>
    <mergeCell ref="E24:F24"/>
    <mergeCell ref="E19:F19"/>
    <mergeCell ref="E20:F20"/>
    <mergeCell ref="E21:F21"/>
    <mergeCell ref="E22:F22"/>
  </mergeCells>
  <phoneticPr fontId="0" type="noConversion"/>
  <pageMargins left="0.75" right="0.75" top="0.51" bottom="0.48" header="0.5" footer="0.5"/>
  <pageSetup paperSize="9" scale="25" orientation="landscape" horizontalDpi="300" verticalDpi="300" r:id="rId3"/>
  <headerFooter alignWithMargins="0">
    <oddFooter>&amp;LCR - &amp;D &amp;T&amp;R&amp;F  -  &amp;A</oddFooter>
  </headerFooter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 Static Forecast</vt:lpstr>
      <vt:lpstr> Winter</vt:lpstr>
      <vt:lpstr> Static Forecast (Formulas)</vt:lpstr>
      <vt:lpstr> Winter (Formulas)</vt:lpstr>
      <vt:lpstr>alpha</vt:lpstr>
      <vt:lpstr>alpha2</vt:lpstr>
      <vt:lpstr>beta</vt:lpstr>
      <vt:lpstr>beta2</vt:lpstr>
      <vt:lpstr>gamma</vt:lpstr>
      <vt:lpstr>gamma2</vt:lpstr>
    </vt:vector>
  </TitlesOfParts>
  <Company>Bain &amp; Company,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Supply Chain Managemetn - 5th edition</dc:title>
  <dc:subject>Chapter 7 case study</dc:subject>
  <dc:creator>Jay Mabe</dc:creator>
  <cp:lastModifiedBy>Janny M.Y. Leung</cp:lastModifiedBy>
  <cp:lastPrinted>2000-03-29T19:14:02Z</cp:lastPrinted>
  <dcterms:created xsi:type="dcterms:W3CDTF">2000-03-02T00:01:41Z</dcterms:created>
  <dcterms:modified xsi:type="dcterms:W3CDTF">2012-09-27T09:55:44Z</dcterms:modified>
</cp:coreProperties>
</file>